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120" windowWidth="16275" windowHeight="8475"/>
  </bookViews>
  <sheets>
    <sheet name="Sheet1" sheetId="6" r:id="rId1"/>
    <sheet name="Gas_Rates" sheetId="1" r:id="rId2"/>
    <sheet name="Elec_Rates" sheetId="2" r:id="rId3"/>
  </sheets>
  <definedNames>
    <definedName name="e11b">Elec_Rates!$R$3</definedName>
    <definedName name="e11e">Elec_Rates!$P$3</definedName>
    <definedName name="e12b">Elec_Rates!$R$4</definedName>
    <definedName name="e12e">Elec_Rates!$P$4</definedName>
    <definedName name="e13b">Elec_Rates!$R$5</definedName>
    <definedName name="e13e">Elec_Rates!$P$5</definedName>
    <definedName name="e14b">Elec_Rates!$R$6</definedName>
    <definedName name="e14e">Elec_Rates!$P$6</definedName>
    <definedName name="e15b">Elec_Rates!$R$7</definedName>
    <definedName name="e15e">Elec_Rates!$P$7</definedName>
    <definedName name="e16b">Elec_Rates!$R$8</definedName>
    <definedName name="e16e">Elec_Rates!$P$8</definedName>
    <definedName name="e17b">Elec_Rates!$R$9</definedName>
    <definedName name="e17e">Elec_Rates!$P$9</definedName>
    <definedName name="e18b">Elec_Rates!$R$10</definedName>
    <definedName name="e18e">Elec_Rates!$P$10</definedName>
    <definedName name="e19b">Elec_Rates!$R$11</definedName>
    <definedName name="e19e">Elec_Rates!$P$11</definedName>
    <definedName name="e1ab">Elec_Rates!$R$12</definedName>
    <definedName name="e1ae">Elec_Rates!$P$12</definedName>
    <definedName name="e1bb">Elec_Rates!$R$13</definedName>
    <definedName name="e1be">Elec_Rates!$P$13</definedName>
    <definedName name="e1cb">Elec_Rates!$R$14</definedName>
    <definedName name="e1ce">Elec_Rates!$P$14</definedName>
    <definedName name="e1d">Elec_Rates!$D$3</definedName>
    <definedName name="e1f">Elec_Rates!$C$28</definedName>
    <definedName name="e1sb">Elec_Rates!$C$40</definedName>
    <definedName name="e1se">Elec_Rates!$C$39</definedName>
    <definedName name="e1wb">Elec_Rates!$C$32</definedName>
    <definedName name="e1we">Elec_Rates!$C$31</definedName>
    <definedName name="e1x">Elec_Rates!$C$23</definedName>
    <definedName name="e21b">Elec_Rates!$V$3</definedName>
    <definedName name="e21e">Elec_Rates!$T$3</definedName>
    <definedName name="e22b">Elec_Rates!$V$4</definedName>
    <definedName name="e22e">Elec_Rates!$T$4</definedName>
    <definedName name="e23b">Elec_Rates!$V$5</definedName>
    <definedName name="e23e">Elec_Rates!$T$5</definedName>
    <definedName name="e24b">Elec_Rates!$V$6</definedName>
    <definedName name="e24e">Elec_Rates!$T$6</definedName>
    <definedName name="e25b">Elec_Rates!$V$7</definedName>
    <definedName name="e25e">Elec_Rates!$T$7</definedName>
    <definedName name="e26b">Elec_Rates!$V$8</definedName>
    <definedName name="e26e">Elec_Rates!$T$8</definedName>
    <definedName name="e27b">Elec_Rates!$V$9</definedName>
    <definedName name="e27e">Elec_Rates!$T$9</definedName>
    <definedName name="e28b">Elec_Rates!$V$10</definedName>
    <definedName name="e28e">Elec_Rates!$T$10</definedName>
    <definedName name="e29b">Elec_Rates!$V$11</definedName>
    <definedName name="e29e">Elec_Rates!$T$11</definedName>
    <definedName name="e2ab">Elec_Rates!$V$12</definedName>
    <definedName name="e2ae">Elec_Rates!$T$12</definedName>
    <definedName name="e2bb">Elec_Rates!$V$13</definedName>
    <definedName name="e2be">Elec_Rates!$T$13</definedName>
    <definedName name="e2cb">Elec_Rates!$V$14</definedName>
    <definedName name="e2ce">Elec_Rates!$T$14</definedName>
    <definedName name="e2d">Elec_Rates!$D$4</definedName>
    <definedName name="e2sb">Elec_Rates!$C$42</definedName>
    <definedName name="e2se">Elec_Rates!$C$41</definedName>
    <definedName name="e2sf">Elec_Rates!$C$37</definedName>
    <definedName name="e2wb">Elec_Rates!$C$34</definedName>
    <definedName name="e2we">Elec_Rates!$C$33</definedName>
    <definedName name="e2wf">Elec_Rates!$C$29</definedName>
    <definedName name="e2x">Elec_Rates!$C$24</definedName>
    <definedName name="e31e">Elec_Rates!$X$3</definedName>
    <definedName name="e32e">Elec_Rates!$X$4</definedName>
    <definedName name="e33e">Elec_Rates!$X$5</definedName>
    <definedName name="e34e">Elec_Rates!$X$6</definedName>
    <definedName name="e35e">Elec_Rates!$X$7</definedName>
    <definedName name="e36e">Elec_Rates!$X$8</definedName>
    <definedName name="e37e">Elec_Rates!$X$9</definedName>
    <definedName name="e38e">Elec_Rates!$X$10</definedName>
    <definedName name="e39e">Elec_Rates!$X$11</definedName>
    <definedName name="e3ae">Elec_Rates!$X$12</definedName>
    <definedName name="e3be">Elec_Rates!$X$13</definedName>
    <definedName name="e3ce">Elec_Rates!$X$14</definedName>
    <definedName name="e3d">Elec_Rates!$D$5</definedName>
    <definedName name="e3se">Elec_Rates!$C$43</definedName>
    <definedName name="e3sf">Elec_Rates!$C$38</definedName>
    <definedName name="e3we">Elec_Rates!$C$35</definedName>
    <definedName name="e3wf">Elec_Rates!$C$30</definedName>
    <definedName name="e3x">Elec_Rates!$C$25</definedName>
    <definedName name="e4d">Elec_Rates!$D$6</definedName>
    <definedName name="e4x">Elec_Rates!$C$26</definedName>
    <definedName name="e5d">Elec_Rates!$D$7</definedName>
    <definedName name="e5x">Elec_Rates!$C$27</definedName>
    <definedName name="e6d">Elec_Rates!$D$8</definedName>
    <definedName name="e7d">Elec_Rates!$D$9</definedName>
    <definedName name="e8d">Elec_Rates!$D$10</definedName>
    <definedName name="e9d">Elec_Rates!$D$11</definedName>
    <definedName name="ead">Elec_Rates!$D$12</definedName>
    <definedName name="ebd">Elec_Rates!$D$13</definedName>
    <definedName name="ec1f">Elec_Rates!$N$3</definedName>
    <definedName name="ec2f">Elec_Rates!$N$4</definedName>
    <definedName name="ec3f">Elec_Rates!$N$5</definedName>
    <definedName name="ec4f">Elec_Rates!$N$6</definedName>
    <definedName name="ec5f">Elec_Rates!$N$7</definedName>
    <definedName name="ec6f">Elec_Rates!$N$8</definedName>
    <definedName name="ec7f">Elec_Rates!$N$9</definedName>
    <definedName name="ec8f">Elec_Rates!$N$10</definedName>
    <definedName name="ec9f">Elec_Rates!$N$11</definedName>
    <definedName name="ecaf">Elec_Rates!$N$12</definedName>
    <definedName name="ecbf">Elec_Rates!$N$13</definedName>
    <definedName name="eccf">Elec_Rates!$N$14</definedName>
    <definedName name="ecd">Elec_Rates!$D$14</definedName>
    <definedName name="ee1e">Elec_Rates!$Z$3</definedName>
    <definedName name="ee2e">Elec_Rates!$Z$4</definedName>
    <definedName name="ee3e">Elec_Rates!$Z$5</definedName>
    <definedName name="ee4e">Elec_Rates!$Z$6</definedName>
    <definedName name="ee5e">Elec_Rates!$Z$7</definedName>
    <definedName name="ee6e">Elec_Rates!$Z$8</definedName>
    <definedName name="ee7e">Elec_Rates!$Z$9</definedName>
    <definedName name="ee8e">Elec_Rates!$Z$10</definedName>
    <definedName name="ee9e">Elec_Rates!$Z$11</definedName>
    <definedName name="eeae">Elec_Rates!$Z$12</definedName>
    <definedName name="eebe">Elec_Rates!$Z$13</definedName>
    <definedName name="eece">Elec_Rates!$Z$14</definedName>
    <definedName name="eese">Elec_Rates!$C$44</definedName>
    <definedName name="eewe">Elec_Rates!$C$36</definedName>
    <definedName name="egt">Elec_Rates!$C$18</definedName>
    <definedName name="ElecArray">Elec_Rates!$G$24:$AB$48</definedName>
    <definedName name="est">Elec_Rates!$C$19</definedName>
    <definedName name="g11b">Gas_Rates!$T$3</definedName>
    <definedName name="g11e">Gas_Rates!$P$3</definedName>
    <definedName name="g11p">Gas_Rates!$R$3</definedName>
    <definedName name="g12b">Gas_Rates!$T$4</definedName>
    <definedName name="g12e">Gas_Rates!$P$4</definedName>
    <definedName name="g12p">Gas_Rates!$R$4</definedName>
    <definedName name="g13b">Gas_Rates!$T$5</definedName>
    <definedName name="g13e">Gas_Rates!$P$5</definedName>
    <definedName name="g13p">Gas_Rates!$R$5</definedName>
    <definedName name="g14b">Gas_Rates!$T$6</definedName>
    <definedName name="g14e">Gas_Rates!$P$6</definedName>
    <definedName name="g14p">Gas_Rates!$R$6</definedName>
    <definedName name="g15b">Gas_Rates!$T$7</definedName>
    <definedName name="g15e">Gas_Rates!$P$7</definedName>
    <definedName name="g15p">Gas_Rates!$R$7</definedName>
    <definedName name="g16b">Gas_Rates!$T$8</definedName>
    <definedName name="g16e">Gas_Rates!$P$8</definedName>
    <definedName name="g16p">Gas_Rates!$R$8</definedName>
    <definedName name="g17b">Gas_Rates!$T$9</definedName>
    <definedName name="g17e">Gas_Rates!$P$9</definedName>
    <definedName name="g17p">Gas_Rates!$R$9</definedName>
    <definedName name="g18b">Gas_Rates!$T$10</definedName>
    <definedName name="g18e">Gas_Rates!$P$10</definedName>
    <definedName name="g18p">Gas_Rates!$R$10</definedName>
    <definedName name="g19b">Gas_Rates!$T$11</definedName>
    <definedName name="g19e">Gas_Rates!$P$11</definedName>
    <definedName name="g19p">Gas_Rates!$R$11</definedName>
    <definedName name="g1ab">Gas_Rates!$T$12</definedName>
    <definedName name="g1ae">Gas_Rates!$P$12</definedName>
    <definedName name="g1ap">Gas_Rates!$R$12</definedName>
    <definedName name="g1bb">Gas_Rates!$T$13</definedName>
    <definedName name="g1be">Gas_Rates!$P$13</definedName>
    <definedName name="g1bp">Gas_Rates!$R$13</definedName>
    <definedName name="g1cb">Gas_Rates!$T$14</definedName>
    <definedName name="g1ce">Gas_Rates!$P$14</definedName>
    <definedName name="g1cp">Gas_Rates!$R$14</definedName>
    <definedName name="g1d">Gas_Rates!$D$3</definedName>
    <definedName name="g1f">Gas_Rates!$C$28</definedName>
    <definedName name="g1sb">Gas_Rates!$C$40</definedName>
    <definedName name="g1se">Gas_Rates!$C$38</definedName>
    <definedName name="g1sp">Gas_Rates!$C$39</definedName>
    <definedName name="g1wb">Gas_Rates!$C$33</definedName>
    <definedName name="g1we">Gas_Rates!$C$31</definedName>
    <definedName name="g1wp">Gas_Rates!$C$32</definedName>
    <definedName name="g1x">Gas_Rates!$C$23</definedName>
    <definedName name="g21e">Gas_Rates!$V$3</definedName>
    <definedName name="g21p">Gas_Rates!$X$3</definedName>
    <definedName name="g22e">Gas_Rates!$V$4</definedName>
    <definedName name="g22p">Gas_Rates!$X$4</definedName>
    <definedName name="g23e">Gas_Rates!$V$5</definedName>
    <definedName name="g23p">Gas_Rates!$X$5</definedName>
    <definedName name="g24e">Gas_Rates!$V$6</definedName>
    <definedName name="g24p">Gas_Rates!$X$6</definedName>
    <definedName name="g25e">Gas_Rates!$V$7</definedName>
    <definedName name="g25p">Gas_Rates!$X$7</definedName>
    <definedName name="g26e">Gas_Rates!$V$8</definedName>
    <definedName name="g26p">Gas_Rates!$X$8</definedName>
    <definedName name="g27e">Gas_Rates!$V$9</definedName>
    <definedName name="g27p">Gas_Rates!$X$9</definedName>
    <definedName name="g28e">Gas_Rates!$V$10</definedName>
    <definedName name="g28p">Gas_Rates!$X$10</definedName>
    <definedName name="g29e">Gas_Rates!$V$11</definedName>
    <definedName name="g29p">Gas_Rates!$X$11</definedName>
    <definedName name="g2ae">Gas_Rates!$V$12</definedName>
    <definedName name="g2ap">Gas_Rates!$X$12</definedName>
    <definedName name="g2be">Gas_Rates!$V$13</definedName>
    <definedName name="g2bp">Gas_Rates!$X$13</definedName>
    <definedName name="g2ce">Gas_Rates!$V$14</definedName>
    <definedName name="g2cp">Gas_Rates!$X$14</definedName>
    <definedName name="g2d">Gas_Rates!$D$4</definedName>
    <definedName name="g2se">Gas_Rates!$C$41</definedName>
    <definedName name="g2sf">Gas_Rates!$C$36</definedName>
    <definedName name="g2sp">Gas_Rates!$C$42</definedName>
    <definedName name="g2we">Gas_Rates!$C$34</definedName>
    <definedName name="g2wf">Gas_Rates!$C$29</definedName>
    <definedName name="g2wp">Gas_Rates!$C$35</definedName>
    <definedName name="g2x">Gas_Rates!$C$24</definedName>
    <definedName name="g3d">Gas_Rates!$D$5</definedName>
    <definedName name="g3sf">Gas_Rates!$C$37</definedName>
    <definedName name="g3wf">Gas_Rates!$C$30</definedName>
    <definedName name="g3x">Gas_Rates!$C$25</definedName>
    <definedName name="g4d">Gas_Rates!$D$6</definedName>
    <definedName name="g4x">Gas_Rates!$C$26</definedName>
    <definedName name="g5d">Gas_Rates!$D$7</definedName>
    <definedName name="g5x">Gas_Rates!$C$27</definedName>
    <definedName name="g6d">Gas_Rates!$D$8</definedName>
    <definedName name="g7d">Gas_Rates!$D$9</definedName>
    <definedName name="g8d">Gas_Rates!$D$10</definedName>
    <definedName name="g9d">Gas_Rates!$D$11</definedName>
    <definedName name="gad">Gas_Rates!$D$12</definedName>
    <definedName name="GasArray">Gas_Rates!$G$24:$Z$48</definedName>
    <definedName name="gbd">Gas_Rates!$D$13</definedName>
    <definedName name="gc1f">Gas_Rates!$N$3</definedName>
    <definedName name="gc2f">Gas_Rates!$N$4</definedName>
    <definedName name="gc3f">Gas_Rates!$N$5</definedName>
    <definedName name="gc4f">Gas_Rates!$N$6</definedName>
    <definedName name="gc5f">Gas_Rates!$N$7</definedName>
    <definedName name="gc6f">Gas_Rates!$N$8</definedName>
    <definedName name="gc7f">Gas_Rates!$N$9</definedName>
    <definedName name="gc8f">Gas_Rates!$N$10</definedName>
    <definedName name="gc9f">Gas_Rates!$N$11</definedName>
    <definedName name="gcaf">Gas_Rates!$N$12</definedName>
    <definedName name="gcbf">Gas_Rates!$N$13</definedName>
    <definedName name="gccf">Gas_Rates!$N$14</definedName>
    <definedName name="gcd">Gas_Rates!$D$14</definedName>
    <definedName name="ggt">Gas_Rates!$C$18</definedName>
    <definedName name="gst">Gas_Rates!$C$19</definedName>
  </definedNames>
  <calcPr calcId="145621"/>
</workbook>
</file>

<file path=xl/calcChain.xml><?xml version="1.0" encoding="utf-8"?>
<calcChain xmlns="http://schemas.openxmlformats.org/spreadsheetml/2006/main">
  <c r="I16" i="6" l="1"/>
  <c r="I15" i="6"/>
  <c r="I14" i="6"/>
  <c r="I13" i="6"/>
  <c r="I12" i="6"/>
  <c r="I11" i="6"/>
  <c r="I10" i="6"/>
  <c r="I9" i="6"/>
  <c r="I8" i="6"/>
  <c r="I7" i="6"/>
  <c r="I6" i="6"/>
  <c r="I5" i="6"/>
  <c r="F4" i="2" l="1"/>
  <c r="F5" i="2"/>
  <c r="F6" i="2"/>
  <c r="F7" i="2"/>
  <c r="F8" i="2"/>
  <c r="F9" i="2"/>
  <c r="F10" i="2"/>
  <c r="F11" i="2"/>
  <c r="F12" i="2"/>
  <c r="F13" i="2"/>
  <c r="F14" i="2"/>
  <c r="F3" i="2"/>
  <c r="AB24" i="2" l="1"/>
  <c r="T24" i="2"/>
  <c r="AB26" i="2" l="1"/>
  <c r="T26" i="2"/>
  <c r="F2" i="2" l="1"/>
  <c r="H17" i="6"/>
  <c r="C25" i="2" l="1"/>
  <c r="I19" i="6" s="1"/>
  <c r="C26" i="2"/>
  <c r="H4" i="6" s="1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24" i="2"/>
  <c r="G2" i="6" s="1"/>
  <c r="M4" i="2"/>
  <c r="M5" i="2"/>
  <c r="M6" i="2"/>
  <c r="M7" i="2"/>
  <c r="M8" i="2"/>
  <c r="M9" i="2"/>
  <c r="M10" i="2"/>
  <c r="M11" i="2"/>
  <c r="M12" i="2"/>
  <c r="M13" i="2"/>
  <c r="M14" i="2"/>
  <c r="M3" i="2"/>
  <c r="N8" i="2" l="1"/>
  <c r="N10" i="2"/>
  <c r="N7" i="2"/>
  <c r="N9" i="2"/>
  <c r="N4" i="2"/>
  <c r="N6" i="2"/>
  <c r="N12" i="2"/>
  <c r="N14" i="2"/>
  <c r="N13" i="2"/>
  <c r="N3" i="2"/>
  <c r="N5" i="2"/>
  <c r="N11" i="2"/>
  <c r="F2" i="1"/>
  <c r="W4" i="1" l="1"/>
  <c r="W5" i="1"/>
  <c r="W6" i="1"/>
  <c r="W7" i="1"/>
  <c r="W8" i="1"/>
  <c r="W9" i="1"/>
  <c r="W10" i="1"/>
  <c r="W11" i="1"/>
  <c r="W12" i="1"/>
  <c r="W13" i="1"/>
  <c r="W14" i="1"/>
  <c r="W3" i="1"/>
  <c r="U4" i="1"/>
  <c r="U5" i="1"/>
  <c r="U6" i="1"/>
  <c r="U7" i="1"/>
  <c r="U8" i="1"/>
  <c r="U9" i="1"/>
  <c r="U10" i="1"/>
  <c r="U11" i="1"/>
  <c r="U12" i="1"/>
  <c r="U13" i="1"/>
  <c r="U14" i="1"/>
  <c r="U3" i="1"/>
  <c r="Q4" i="1"/>
  <c r="Q5" i="1"/>
  <c r="Q6" i="1"/>
  <c r="Q7" i="1"/>
  <c r="Q8" i="1"/>
  <c r="Q9" i="1"/>
  <c r="Q10" i="1"/>
  <c r="Q11" i="1"/>
  <c r="Q12" i="1"/>
  <c r="Q13" i="1"/>
  <c r="Q14" i="1"/>
  <c r="O4" i="1"/>
  <c r="O5" i="1"/>
  <c r="O6" i="1"/>
  <c r="O7" i="1"/>
  <c r="O8" i="1"/>
  <c r="O9" i="1"/>
  <c r="O10" i="1"/>
  <c r="O11" i="1"/>
  <c r="O12" i="1"/>
  <c r="O13" i="1"/>
  <c r="O14" i="1"/>
  <c r="S3" i="1"/>
  <c r="Q3" i="1"/>
  <c r="O3" i="1"/>
  <c r="M4" i="1"/>
  <c r="M5" i="1"/>
  <c r="M6" i="1"/>
  <c r="M7" i="1"/>
  <c r="M8" i="1"/>
  <c r="M9" i="1"/>
  <c r="M10" i="1"/>
  <c r="M11" i="1"/>
  <c r="M12" i="1"/>
  <c r="M13" i="1"/>
  <c r="M14" i="1"/>
  <c r="M3" i="1"/>
  <c r="C37" i="1"/>
  <c r="C36" i="1"/>
  <c r="C25" i="1"/>
  <c r="C26" i="1"/>
  <c r="C27" i="1"/>
  <c r="C28" i="1"/>
  <c r="C29" i="1"/>
  <c r="C30" i="1"/>
  <c r="C31" i="1"/>
  <c r="C32" i="1"/>
  <c r="C33" i="1"/>
  <c r="C34" i="1"/>
  <c r="C35" i="1"/>
  <c r="C38" i="1"/>
  <c r="C39" i="1"/>
  <c r="C40" i="1"/>
  <c r="C41" i="1"/>
  <c r="C42" i="1"/>
  <c r="T9" i="1" l="1"/>
  <c r="T7" i="1"/>
  <c r="T5" i="1"/>
  <c r="T10" i="1"/>
  <c r="N3" i="1"/>
  <c r="N9" i="1"/>
  <c r="N7" i="1"/>
  <c r="N5" i="1"/>
  <c r="N10" i="1"/>
  <c r="C17" i="6"/>
  <c r="E1" i="2" l="1"/>
  <c r="E1" i="1" l="1"/>
  <c r="D19" i="6"/>
  <c r="O14" i="2"/>
  <c r="O13" i="2"/>
  <c r="O12" i="2"/>
  <c r="O11" i="2"/>
  <c r="O10" i="2"/>
  <c r="O9" i="2"/>
  <c r="O8" i="2"/>
  <c r="O7" i="2"/>
  <c r="O6" i="2"/>
  <c r="O5" i="2"/>
  <c r="O4" i="2"/>
  <c r="O3" i="2"/>
  <c r="Q14" i="2"/>
  <c r="Q13" i="2"/>
  <c r="Q12" i="2"/>
  <c r="Q11" i="2"/>
  <c r="Q10" i="2"/>
  <c r="Q9" i="2"/>
  <c r="Q8" i="2"/>
  <c r="Q7" i="2"/>
  <c r="Q6" i="2"/>
  <c r="Q5" i="2"/>
  <c r="Q4" i="2"/>
  <c r="Q3" i="2"/>
  <c r="S14" i="2"/>
  <c r="S13" i="2"/>
  <c r="S12" i="2"/>
  <c r="S11" i="2"/>
  <c r="S10" i="2"/>
  <c r="S9" i="2"/>
  <c r="S8" i="2"/>
  <c r="S7" i="2"/>
  <c r="S6" i="2"/>
  <c r="S5" i="2"/>
  <c r="S4" i="2"/>
  <c r="S3" i="2"/>
  <c r="U14" i="2"/>
  <c r="U13" i="2"/>
  <c r="U12" i="2"/>
  <c r="U11" i="2"/>
  <c r="U10" i="2"/>
  <c r="U9" i="2"/>
  <c r="U8" i="2"/>
  <c r="U7" i="2"/>
  <c r="U6" i="2"/>
  <c r="U5" i="2"/>
  <c r="U4" i="2"/>
  <c r="U3" i="2"/>
  <c r="W14" i="2"/>
  <c r="W13" i="2"/>
  <c r="W12" i="2"/>
  <c r="W11" i="2"/>
  <c r="W10" i="2"/>
  <c r="W9" i="2"/>
  <c r="W8" i="2"/>
  <c r="W7" i="2"/>
  <c r="W6" i="2"/>
  <c r="W5" i="2"/>
  <c r="W4" i="2"/>
  <c r="W3" i="2"/>
  <c r="Y4" i="2"/>
  <c r="Y5" i="2"/>
  <c r="Y6" i="2"/>
  <c r="Y7" i="2"/>
  <c r="Y8" i="2"/>
  <c r="Y9" i="2"/>
  <c r="Y10" i="2"/>
  <c r="Y11" i="2"/>
  <c r="Y12" i="2"/>
  <c r="Y13" i="2"/>
  <c r="Y14" i="2"/>
  <c r="Y3" i="2"/>
  <c r="C4" i="1" l="1"/>
  <c r="C5" i="1"/>
  <c r="C6" i="1"/>
  <c r="C7" i="1"/>
  <c r="C8" i="1"/>
  <c r="C9" i="1"/>
  <c r="C10" i="1"/>
  <c r="C11" i="1"/>
  <c r="C12" i="1"/>
  <c r="C13" i="1"/>
  <c r="C14" i="1"/>
  <c r="C3" i="1"/>
  <c r="F3" i="1" s="1"/>
  <c r="S14" i="1"/>
  <c r="S13" i="1"/>
  <c r="S12" i="1"/>
  <c r="S11" i="1"/>
  <c r="S10" i="1"/>
  <c r="S9" i="1"/>
  <c r="S8" i="1"/>
  <c r="S7" i="1"/>
  <c r="S6" i="1"/>
  <c r="S5" i="1"/>
  <c r="S4" i="1"/>
  <c r="F13" i="1" l="1"/>
  <c r="F11" i="1"/>
  <c r="F9" i="1"/>
  <c r="F7" i="1"/>
  <c r="F5" i="1"/>
  <c r="F14" i="1"/>
  <c r="F12" i="1"/>
  <c r="F10" i="1"/>
  <c r="F8" i="1"/>
  <c r="F6" i="1"/>
  <c r="F4" i="1"/>
  <c r="C24" i="1"/>
  <c r="B2" i="6" s="1"/>
  <c r="B51" i="2" l="1"/>
  <c r="B53" i="2"/>
  <c r="B52" i="2"/>
  <c r="J15" i="2"/>
  <c r="D15" i="2"/>
  <c r="B14" i="2"/>
  <c r="B13" i="2"/>
  <c r="B8" i="2"/>
  <c r="B6" i="2"/>
  <c r="B4" i="2"/>
  <c r="B54" i="2" l="1"/>
  <c r="B57" i="1" l="1"/>
  <c r="B61" i="1"/>
  <c r="B51" i="1"/>
  <c r="B53" i="1"/>
  <c r="B55" i="1"/>
  <c r="B59" i="1"/>
  <c r="B52" i="1"/>
  <c r="B54" i="1"/>
  <c r="B56" i="1"/>
  <c r="B58" i="1"/>
  <c r="B60" i="1"/>
  <c r="B62" i="1"/>
  <c r="B55" i="2"/>
  <c r="B56" i="2" l="1"/>
  <c r="B57" i="2" l="1"/>
  <c r="B58" i="2" l="1"/>
  <c r="B59" i="2" l="1"/>
  <c r="B14" i="1"/>
  <c r="B13" i="1"/>
  <c r="B11" i="1"/>
  <c r="B12" i="1"/>
  <c r="B8" i="1"/>
  <c r="B4" i="1"/>
  <c r="B6" i="1"/>
  <c r="T8" i="1" l="1"/>
  <c r="N8" i="1"/>
  <c r="T11" i="1"/>
  <c r="N11" i="1"/>
  <c r="T14" i="1"/>
  <c r="N14" i="1"/>
  <c r="T6" i="1"/>
  <c r="N6" i="1"/>
  <c r="T4" i="1"/>
  <c r="N4" i="1"/>
  <c r="T12" i="1"/>
  <c r="N12" i="1"/>
  <c r="T13" i="1"/>
  <c r="N13" i="1"/>
  <c r="B60" i="2"/>
  <c r="J15" i="1"/>
  <c r="B62" i="2" l="1"/>
  <c r="B61" i="2"/>
  <c r="D15" i="1"/>
  <c r="J2" i="2" l="1"/>
  <c r="A1" i="2"/>
  <c r="A1" i="1"/>
  <c r="J2" i="1" l="1"/>
  <c r="C4" i="6"/>
  <c r="X8" i="2"/>
  <c r="X10" i="2"/>
  <c r="X7" i="2"/>
  <c r="X9" i="2"/>
  <c r="T8" i="2"/>
  <c r="T10" i="2"/>
  <c r="T7" i="2"/>
  <c r="T9" i="2"/>
  <c r="P8" i="2"/>
  <c r="P10" i="2"/>
  <c r="P7" i="2"/>
  <c r="P9" i="2"/>
  <c r="X4" i="2"/>
  <c r="X6" i="2"/>
  <c r="X12" i="2"/>
  <c r="X14" i="2"/>
  <c r="X5" i="2"/>
  <c r="X11" i="2"/>
  <c r="X13" i="2"/>
  <c r="X3" i="2"/>
  <c r="T4" i="2"/>
  <c r="T6" i="2"/>
  <c r="T12" i="2"/>
  <c r="T14" i="2"/>
  <c r="T5" i="2"/>
  <c r="T11" i="2"/>
  <c r="T13" i="2"/>
  <c r="T3" i="2"/>
  <c r="P4" i="2"/>
  <c r="P6" i="2"/>
  <c r="P12" i="2"/>
  <c r="P14" i="2"/>
  <c r="P13" i="2"/>
  <c r="P5" i="2"/>
  <c r="P11" i="2"/>
  <c r="P3" i="2"/>
  <c r="Z8" i="2"/>
  <c r="Z10" i="2"/>
  <c r="Z7" i="2"/>
  <c r="Z9" i="2"/>
  <c r="V8" i="2"/>
  <c r="V10" i="2"/>
  <c r="V7" i="2"/>
  <c r="V9" i="2"/>
  <c r="R8" i="2"/>
  <c r="K8" i="2" s="1"/>
  <c r="R10" i="2"/>
  <c r="K10" i="2" s="1"/>
  <c r="R7" i="2"/>
  <c r="K7" i="2" s="1"/>
  <c r="R9" i="2"/>
  <c r="K9" i="2" s="1"/>
  <c r="Z4" i="2"/>
  <c r="Z6" i="2"/>
  <c r="Z12" i="2"/>
  <c r="Z14" i="2"/>
  <c r="Z5" i="2"/>
  <c r="Z11" i="2"/>
  <c r="Z13" i="2"/>
  <c r="Z3" i="2"/>
  <c r="V4" i="2"/>
  <c r="V6" i="2"/>
  <c r="V12" i="2"/>
  <c r="V14" i="2"/>
  <c r="V5" i="2"/>
  <c r="V11" i="2"/>
  <c r="V13" i="2"/>
  <c r="V3" i="2"/>
  <c r="R4" i="2"/>
  <c r="K4" i="2" s="1"/>
  <c r="R6" i="2"/>
  <c r="K6" i="2" s="1"/>
  <c r="R12" i="2"/>
  <c r="K12" i="2" s="1"/>
  <c r="R14" i="2"/>
  <c r="K14" i="2" s="1"/>
  <c r="R5" i="2"/>
  <c r="K5" i="2" s="1"/>
  <c r="R11" i="2"/>
  <c r="R13" i="2"/>
  <c r="K13" i="2" s="1"/>
  <c r="R3" i="2"/>
  <c r="K3" i="2" s="1"/>
  <c r="V8" i="1"/>
  <c r="V10" i="1"/>
  <c r="V12" i="1"/>
  <c r="V7" i="1"/>
  <c r="V9" i="1"/>
  <c r="V11" i="1"/>
  <c r="R8" i="1"/>
  <c r="R10" i="1"/>
  <c r="R12" i="1"/>
  <c r="R7" i="1"/>
  <c r="R9" i="1"/>
  <c r="R11" i="1"/>
  <c r="X4" i="1"/>
  <c r="X6" i="1"/>
  <c r="X14" i="1"/>
  <c r="X5" i="1"/>
  <c r="X13" i="1"/>
  <c r="X3" i="1"/>
  <c r="T3" i="1"/>
  <c r="P6" i="1"/>
  <c r="P5" i="1"/>
  <c r="P13" i="1"/>
  <c r="P3" i="1"/>
  <c r="P4" i="1"/>
  <c r="P14" i="1"/>
  <c r="X8" i="1"/>
  <c r="X10" i="1"/>
  <c r="X12" i="1"/>
  <c r="X7" i="1"/>
  <c r="X9" i="1"/>
  <c r="X11" i="1"/>
  <c r="P10" i="1"/>
  <c r="P7" i="1"/>
  <c r="P9" i="1"/>
  <c r="P11" i="1"/>
  <c r="P8" i="1"/>
  <c r="D10" i="6" s="1"/>
  <c r="P12" i="1"/>
  <c r="V4" i="1"/>
  <c r="V6" i="1"/>
  <c r="V14" i="1"/>
  <c r="V5" i="1"/>
  <c r="V13" i="1"/>
  <c r="V3" i="1"/>
  <c r="R4" i="1"/>
  <c r="R6" i="1"/>
  <c r="R14" i="1"/>
  <c r="R5" i="1"/>
  <c r="R13" i="1"/>
  <c r="R3" i="1"/>
  <c r="D11" i="6" l="1"/>
  <c r="K11" i="2"/>
  <c r="D12" i="6"/>
  <c r="D14" i="6"/>
  <c r="D13" i="6"/>
  <c r="D9" i="6"/>
  <c r="D6" i="6"/>
  <c r="D15" i="6"/>
  <c r="D8" i="6"/>
  <c r="D16" i="6"/>
  <c r="D7" i="6"/>
  <c r="D5" i="6"/>
  <c r="K8" i="1"/>
  <c r="K9" i="1"/>
  <c r="K10" i="1"/>
  <c r="K6" i="1"/>
  <c r="K4" i="1"/>
  <c r="K13" i="1"/>
  <c r="K12" i="1"/>
  <c r="K11" i="1"/>
  <c r="K7" i="1"/>
  <c r="K14" i="1"/>
  <c r="K5" i="1"/>
  <c r="K3" i="1"/>
  <c r="I17" i="6" l="1"/>
  <c r="D17" i="6"/>
  <c r="K15" i="2"/>
  <c r="K15" i="1"/>
</calcChain>
</file>

<file path=xl/sharedStrings.xml><?xml version="1.0" encoding="utf-8"?>
<sst xmlns="http://schemas.openxmlformats.org/spreadsheetml/2006/main" count="415" uniqueCount="161">
  <si>
    <t>Rate Class Name</t>
  </si>
  <si>
    <t>Index</t>
  </si>
  <si>
    <t>Unit</t>
  </si>
  <si>
    <t>Sales Tax</t>
  </si>
  <si>
    <t>Customer Charge</t>
  </si>
  <si>
    <t>Program Adder</t>
  </si>
  <si>
    <t>per</t>
  </si>
  <si>
    <t>1st Energy Charge</t>
  </si>
  <si>
    <t>1st PGA</t>
  </si>
  <si>
    <t>1st Break</t>
  </si>
  <si>
    <t>2nd Energy Charge</t>
  </si>
  <si>
    <t>2nd PGA</t>
  </si>
  <si>
    <t>Laclede Residential</t>
  </si>
  <si>
    <t>Therm</t>
  </si>
  <si>
    <t>Month</t>
  </si>
  <si>
    <t>MGE Residential</t>
  </si>
  <si>
    <t>CCF</t>
  </si>
  <si>
    <t>Day</t>
  </si>
  <si>
    <t>g1x</t>
  </si>
  <si>
    <t>g2x</t>
  </si>
  <si>
    <t>g4x</t>
  </si>
  <si>
    <t>g1f</t>
  </si>
  <si>
    <t>g1wp</t>
  </si>
  <si>
    <t>g1we</t>
  </si>
  <si>
    <t>g1wb</t>
  </si>
  <si>
    <t>g2we</t>
  </si>
  <si>
    <t>g2wp</t>
  </si>
  <si>
    <t>g1se</t>
  </si>
  <si>
    <t>g1sp</t>
  </si>
  <si>
    <t>g1sb</t>
  </si>
  <si>
    <t>g2se</t>
  </si>
  <si>
    <t>g2sp</t>
  </si>
  <si>
    <t>2nd Break</t>
  </si>
  <si>
    <t>3rd Energy Charge</t>
  </si>
  <si>
    <t>Ameren MO Residential</t>
  </si>
  <si>
    <t>kWh</t>
  </si>
  <si>
    <t>hrs</t>
  </si>
  <si>
    <t>Cuivre River Coop Residential</t>
  </si>
  <si>
    <t>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</si>
  <si>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</si>
  <si>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</si>
  <si>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</si>
  <si>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</si>
  <si>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</si>
  <si>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</si>
  <si>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</si>
  <si>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</si>
  <si>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</si>
  <si>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</si>
  <si>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</si>
  <si>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</si>
  <si>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Winter</t>
  </si>
  <si>
    <t>Summer</t>
  </si>
  <si>
    <t>e1x</t>
  </si>
  <si>
    <t>e2x</t>
  </si>
  <si>
    <t>e4x</t>
  </si>
  <si>
    <t>g3x</t>
  </si>
  <si>
    <t>e3x</t>
  </si>
  <si>
    <t>e1f</t>
  </si>
  <si>
    <t>e1we</t>
  </si>
  <si>
    <t>e1wb</t>
  </si>
  <si>
    <t>e2we</t>
  </si>
  <si>
    <t>e2wb</t>
  </si>
  <si>
    <t>e3we</t>
  </si>
  <si>
    <t>eewe</t>
  </si>
  <si>
    <t>e1se</t>
  </si>
  <si>
    <t>e2sb</t>
  </si>
  <si>
    <t>e2se</t>
  </si>
  <si>
    <t>e1sb</t>
  </si>
  <si>
    <t>e3se</t>
  </si>
  <si>
    <t>eese</t>
  </si>
  <si>
    <t>g</t>
  </si>
  <si>
    <t>a</t>
  </si>
  <si>
    <t>b</t>
  </si>
  <si>
    <t>c</t>
  </si>
  <si>
    <t>p</t>
  </si>
  <si>
    <t>Winter?</t>
  </si>
  <si>
    <t>1</t>
  </si>
  <si>
    <t>2</t>
  </si>
  <si>
    <t>3</t>
  </si>
  <si>
    <t>4</t>
  </si>
  <si>
    <t>5</t>
  </si>
  <si>
    <t>6</t>
  </si>
  <si>
    <t>7</t>
  </si>
  <si>
    <t>8</t>
  </si>
  <si>
    <t>9</t>
  </si>
  <si>
    <t>Dollar</t>
  </si>
  <si>
    <t>Gross Receipts Tax</t>
  </si>
  <si>
    <t>gst</t>
  </si>
  <si>
    <t>ggt</t>
  </si>
  <si>
    <t>Total</t>
  </si>
  <si>
    <t>e</t>
  </si>
  <si>
    <t>e1d</t>
  </si>
  <si>
    <t>e2d</t>
  </si>
  <si>
    <t>e3d</t>
  </si>
  <si>
    <t>e4d</t>
  </si>
  <si>
    <t>e5d</t>
  </si>
  <si>
    <t>e6d</t>
  </si>
  <si>
    <t>e7d</t>
  </si>
  <si>
    <t>e8d</t>
  </si>
  <si>
    <t>e9d</t>
  </si>
  <si>
    <t>ead</t>
  </si>
  <si>
    <t>ebd</t>
  </si>
  <si>
    <t>ecd</t>
  </si>
  <si>
    <t>egt</t>
  </si>
  <si>
    <t>est</t>
  </si>
  <si>
    <t>value(J3)</t>
  </si>
  <si>
    <t>value(J4)</t>
  </si>
  <si>
    <t>value(J5)</t>
  </si>
  <si>
    <t>value(J6)</t>
  </si>
  <si>
    <t>value(J7)</t>
  </si>
  <si>
    <t>value(J8)</t>
  </si>
  <si>
    <t>value(J9)</t>
  </si>
  <si>
    <t>value(J10)</t>
  </si>
  <si>
    <t>value(J11)</t>
  </si>
  <si>
    <t>value(J12)</t>
  </si>
  <si>
    <t>value(J13)</t>
  </si>
  <si>
    <t>value(J14)</t>
  </si>
  <si>
    <t>=0,</t>
  </si>
  <si>
    <t>,</t>
  </si>
  <si>
    <t>+</t>
  </si>
  <si>
    <t>-</t>
  </si>
  <si>
    <t>d</t>
  </si>
  <si>
    <t>g5x</t>
  </si>
  <si>
    <t>Effective Date</t>
  </si>
  <si>
    <t>e5x</t>
  </si>
  <si>
    <t>))*(IF(e5x,est,0)+1/(1-egt))</t>
  </si>
  <si>
    <t>)+MIN(IF(</t>
  </si>
  <si>
    <t>),</t>
  </si>
  <si>
    <t>0,</t>
  </si>
  <si>
    <t>IF(</t>
  </si>
  <si>
    <t>MAX(</t>
  </si>
  <si>
    <t>)*(</t>
  </si>
  <si>
    <t>))*(IF(g5x,gst,0)+1/(1-ggt))</t>
  </si>
  <si>
    <t>,0)</t>
  </si>
  <si>
    <t>)</t>
  </si>
  <si>
    <t>Rates effective</t>
  </si>
  <si>
    <t>Notes:</t>
  </si>
  <si>
    <t>4. Copy white areas to your sheet. Place cost calculation cells immediately to the right of your energy cells.</t>
  </si>
  <si>
    <t>g2sf</t>
  </si>
  <si>
    <t>g3sf</t>
  </si>
  <si>
    <t>g2wf</t>
  </si>
  <si>
    <t>g3wf</t>
  </si>
  <si>
    <t>f</t>
  </si>
  <si>
    <t>=(</t>
  </si>
  <si>
    <t>e2wf</t>
  </si>
  <si>
    <t>e3wf</t>
  </si>
  <si>
    <t>e2sf</t>
  </si>
  <si>
    <t>e3sf</t>
  </si>
  <si>
    <t>All kWh</t>
  </si>
  <si>
    <t>1. Enter rates in H24:Z48 below. Leave blanks in columns that don't apply.</t>
  </si>
  <si>
    <t>2. Adjust for winter rates, days/month, and tax rates in B3:B14, D3:D14, and C18:C19.</t>
  </si>
  <si>
    <t>3. Select the index of the rate you want calculated in cell C23.</t>
  </si>
  <si>
    <t>1. Enter rates in H24:AB48 below. Leave blanks in columns that don't apply.</t>
  </si>
  <si>
    <t>)+IF(</t>
  </si>
  <si>
    <t>,IF(</t>
  </si>
  <si>
    <t>0,IF(</t>
  </si>
  <si>
    <t>&gt;</t>
  </si>
  <si>
    <t>,0</t>
  </si>
  <si>
    <t>))</t>
  </si>
  <si>
    <t>))*(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</si>
</sst>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Protection="1"/>
    <xf numFmtId="0" fontId="0" fillId="0" borderId="0" xfId="0" quotePrefix="1" applyFill="1" applyProtection="1"/>
    <xf numFmtId="0" fontId="0" fillId="0" borderId="0" xfId="0" applyProtection="1"/>
    <xf numFmtId="0" fontId="0" fillId="0" borderId="0" xfId="0" applyFill="1" applyAlignment="1" applyProtection="1">
      <alignment horizontal="center"/>
    </xf>
    <xf numFmtId="14" fontId="0" fillId="0" borderId="0" xfId="0" applyNumberFormat="1" applyFill="1" applyProtection="1"/>
    <xf numFmtId="0" fontId="0" fillId="2" borderId="0" xfId="0" applyFill="1" applyProtection="1"/>
    <xf numFmtId="14" fontId="0" fillId="2" borderId="0" xfId="0" applyNumberFormat="1" applyFill="1" applyProtection="1"/>
    <xf numFmtId="0" fontId="0" fillId="2" borderId="0" xfId="0" quotePrefix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Protection="1">
      <protection locked="0"/>
    </xf>
    <xf numFmtId="165" fontId="0" fillId="2" borderId="0" xfId="0" applyNumberFormat="1" applyFill="1" applyProtection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wrapText="1"/>
    </xf>
    <xf numFmtId="14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2" borderId="0" xfId="0" quotePrefix="1" applyFill="1" applyProtection="1">
      <protection locked="0"/>
    </xf>
    <xf numFmtId="1" fontId="0" fillId="0" borderId="0" xfId="0" applyNumberFormat="1" applyFill="1" applyProtection="1"/>
    <xf numFmtId="1" fontId="0" fillId="2" borderId="0" xfId="0" applyNumberFormat="1" applyFill="1" applyProtection="1"/>
    <xf numFmtId="165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workbookViewId="0"/>
  </sheetViews>
  <sheetFormatPr defaultRowHeight="15" x14ac:dyDescent="0.25"/>
  <cols>
    <col min="1" max="3" width="9.140625" style="3"/>
    <col min="4" max="4" width="12" style="3" bestFit="1" customWidth="1"/>
    <col min="5" max="8" width="9.140625" style="3"/>
    <col min="9" max="9" width="12" style="3" bestFit="1" customWidth="1"/>
    <col min="10" max="16384" width="9.140625" style="3"/>
  </cols>
  <sheetData>
    <row r="2" spans="2:9" x14ac:dyDescent="0.25">
      <c r="B2" s="1" t="str">
        <f>g2x</f>
        <v>Laclede Residential</v>
      </c>
      <c r="G2" s="1" t="str">
        <f>e2x</f>
        <v>Ameren MO Residential</v>
      </c>
    </row>
    <row r="4" spans="2:9" x14ac:dyDescent="0.25">
      <c r="B4" s="3" t="s">
        <v>14</v>
      </c>
      <c r="C4" s="4" t="str">
        <f>g4x</f>
        <v>Therm</v>
      </c>
      <c r="D4" s="1" t="s">
        <v>86</v>
      </c>
      <c r="G4" s="2" t="s">
        <v>14</v>
      </c>
      <c r="H4" s="4" t="str">
        <f>e4x</f>
        <v>kWh</v>
      </c>
      <c r="I4" s="1" t="s">
        <v>86</v>
      </c>
    </row>
    <row r="5" spans="2:9" x14ac:dyDescent="0.25">
      <c r="B5" s="3" t="s">
        <v>39</v>
      </c>
      <c r="C5" s="21">
        <v>1029</v>
      </c>
      <c r="D5" s="1">
        <f>(gc1f*IF(g1f="month",1,g1d)+MIN(IF(g11b=0,VALUE(C5),g11b),VALUE(C5))*(g11e+g11p)+MIN(IF(g11b=0,0,MAX(VALUE(C5)-g11b,0)),MAX(VALUE(C5)-g11b,0))*(g21e+g21p))*(IF(g5x,gst,0)+1/(1-ggt))</f>
        <v>700.81847368421063</v>
      </c>
      <c r="G5" s="2" t="s">
        <v>39</v>
      </c>
      <c r="H5" s="19">
        <v>0</v>
      </c>
      <c r="I5" s="1">
        <f>(ec1f*IF(e1f="month",1,e1d)+IF(e11b=0,VALUE(H5),IF(e11b&gt;VALUE(H5),VALUE(H5),e11b))*(e11e+ee1e)+IF(e11b=0,0,IF(e11b&gt;VALUE(H5),0,IF(e21b=0,VALUE(H5)-e11b,IF(e21b&gt;VALUE(H5),VALUE(H5)-e11b,e21b-e11b))))*(e21e+ee1e)+IF(e21b=0,0,IF(e21b&gt;VALUE(H5),0,VALUE(H5)-e21b))*(e31e+ee1e))*(IF(e5x,est,0)+1/(1-egt))</f>
        <v>8.4526315789473667</v>
      </c>
    </row>
    <row r="6" spans="2:9" x14ac:dyDescent="0.25">
      <c r="B6" s="3" t="s">
        <v>40</v>
      </c>
      <c r="C6" s="21">
        <v>804</v>
      </c>
      <c r="D6" s="1">
        <f>(gc2f*IF(g1f="month",1,g2d)+MIN(IF(g12b=0,VALUE(C6),g12b),VALUE(C6))*(g12e+g12p)+MIN(IF(g12b=0,0,MAX(VALUE(C6)-g12b,0)),MAX(VALUE(C6)-g12b,0))*(g22e+g22p))*(IF(g5x,gst,0)+1/(1-ggt))</f>
        <v>556.71189473684205</v>
      </c>
      <c r="G6" s="2" t="s">
        <v>40</v>
      </c>
      <c r="H6" s="19">
        <v>0</v>
      </c>
      <c r="I6" s="1">
        <f>(ec2f*IF(e1f="month",1,e2d)+IF(e12b=0,VALUE(H6),IF(e12b&gt;VALUE(H6),VALUE(H6),e12b))*(e12e+ee2e)+IF(e12b=0,0,IF(e12b&gt;VALUE(H6),0,IF(e22b=0,VALUE(H6)-e12b,IF(e22b&gt;VALUE(H6),VALUE(H6)-e12b,e22b-e12b))))*(e22e+ee2e)+IF(e22b=0,0,IF(e22b&gt;VALUE(H6),0,VALUE(H6)-e22b))*(e32e+ee2e))*(IF(e5x,est,0)+1/(1-egt))</f>
        <v>8.4526315789473667</v>
      </c>
    </row>
    <row r="7" spans="2:9" x14ac:dyDescent="0.25">
      <c r="B7" s="3" t="s">
        <v>41</v>
      </c>
      <c r="C7" s="21">
        <v>588</v>
      </c>
      <c r="D7" s="1">
        <f>(gc3f*IF(g1f="month",1,g3d)+MIN(IF(g13b=0,VALUE(C7),g13b),VALUE(C7))*(g13e+g13p)+MIN(IF(g13b=0,0,MAX(VALUE(C7)-g13b,0)),MAX(VALUE(C7)-g13b,0))*(g23e+g23p))*(IF(g5x,gst,0)+1/(1-ggt))</f>
        <v>418.36957894736838</v>
      </c>
      <c r="G7" s="2" t="s">
        <v>41</v>
      </c>
      <c r="H7" s="19">
        <v>7</v>
      </c>
      <c r="I7" s="1">
        <f>(ec3f*IF(e1f="month",1,e3d)+IF(e13b=0,VALUE(H7),IF(e13b&gt;VALUE(H7),VALUE(H7),e13b))*(e13e+ee3e)+IF(e13b=0,0,IF(e13b&gt;VALUE(H7),0,IF(e23b=0,VALUE(H7)-e13b,IF(e23b&gt;VALUE(H7),VALUE(H7)-e13b,e23b-e13b))))*(e23e+ee3e)+IF(e23b=0,0,IF(e23b&gt;VALUE(H7),0,VALUE(H7)-e23b))*(e33e+ee3e))*(IF(e5x,est,0)+1/(1-egt))</f>
        <v>9.0818947368421039</v>
      </c>
    </row>
    <row r="8" spans="2:9" x14ac:dyDescent="0.25">
      <c r="B8" s="3" t="s">
        <v>42</v>
      </c>
      <c r="C8" s="21">
        <v>270</v>
      </c>
      <c r="D8" s="1">
        <f>(gc4f*IF(g1f="month",1,g4d)+MIN(IF(g14b=0,VALUE(C8),g14b),VALUE(C8))*(g14e+g14p)+MIN(IF(g14b=0,0,MAX(VALUE(C8)-g14b,0)),MAX(VALUE(C8)-g14b,0))*(g24e+g24p))*(IF(g5x,gst,0)+1/(1-ggt))</f>
        <v>214.69894736842107</v>
      </c>
      <c r="G8" s="2" t="s">
        <v>42</v>
      </c>
      <c r="H8" s="19">
        <v>39</v>
      </c>
      <c r="I8" s="1">
        <f>(ec4f*IF(e1f="month",1,e4d)+IF(e14b=0,VALUE(H8),IF(e14b&gt;VALUE(H8),VALUE(H8),e14b))*(e14e+ee4e)+IF(e14b=0,0,IF(e14b&gt;VALUE(H8),0,IF(e24b=0,VALUE(H8)-e14b,IF(e24b&gt;VALUE(H8),VALUE(H8)-e14b,e24b-e14b))))*(e24e+ee4e)+IF(e24b=0,0,IF(e24b&gt;VALUE(H8),0,VALUE(H8)-e24b))*(e34e+ee4e))*(IF(e5x,est,0)+1/(1-egt))</f>
        <v>11.958526315789474</v>
      </c>
    </row>
    <row r="9" spans="2:9" x14ac:dyDescent="0.25">
      <c r="B9" s="3" t="s">
        <v>43</v>
      </c>
      <c r="C9" s="21">
        <v>74</v>
      </c>
      <c r="D9" s="1">
        <f>(gc5f*IF(g1f="month",1,g5d)+MIN(IF(g15b=0,VALUE(C9),g15b),VALUE(C9))*(g15e+g15p)+MIN(IF(g15b=0,0,MAX(VALUE(C9)-g15b,0)),MAX(VALUE(C9)-g15b,0))*(g25e+g25p))*(IF(g5x,gst,0)+1/(1-ggt))</f>
        <v>81.526968421052629</v>
      </c>
      <c r="G9" s="2" t="s">
        <v>43</v>
      </c>
      <c r="H9" s="19">
        <v>128</v>
      </c>
      <c r="I9" s="1">
        <f>(ec5f*IF(e1f="month",1,e5d)+IF(e15b=0,VALUE(H9),IF(e15b&gt;VALUE(H9),VALUE(H9),e15b))*(e15e+ee5e)+IF(e15b=0,0,IF(e15b&gt;VALUE(H9),0,IF(e25b=0,VALUE(H9)-e15b,IF(e25b&gt;VALUE(H9),VALUE(H9)-e15b,e25b-e15b))))*(e25e+ee5e)+IF(e25b=0,0,IF(e25b&gt;VALUE(H9),0,VALUE(H9)-e25b))*(e35e+ee5e))*(IF(e5x,est,0)+1/(1-egt))</f>
        <v>24.284210526315789</v>
      </c>
    </row>
    <row r="10" spans="2:9" x14ac:dyDescent="0.25">
      <c r="B10" s="3" t="s">
        <v>44</v>
      </c>
      <c r="C10" s="21">
        <v>5</v>
      </c>
      <c r="D10" s="1">
        <f>(gc6f*IF(g1f="month",1,g6d)+MIN(IF(g16b=0,VALUE(C10),g16b),VALUE(C10))*(g16e+g16p)+MIN(IF(g16b=0,0,MAX(VALUE(C10)-g16b,0)),MAX(VALUE(C10)-g16b,0))*(g26e+g26p))*(IF(g5x,gst,0)+1/(1-ggt))</f>
        <v>25.148473684210526</v>
      </c>
      <c r="G10" s="2" t="s">
        <v>44</v>
      </c>
      <c r="H10" s="19">
        <v>334</v>
      </c>
      <c r="I10" s="1">
        <f>(ec6f*IF(e1f="month",1,e6d)+IF(e16b=0,VALUE(H10),IF(e16b&gt;VALUE(H10),VALUE(H10),e16b))*(e16e+ee6e)+IF(e16b=0,0,IF(e16b&gt;VALUE(H10),0,IF(e26b=0,VALUE(H10)-e16b,IF(e26b&gt;VALUE(H10),VALUE(H10)-e16b,e26b-e16b))))*(e26e+ee6e)+IF(e26b=0,0,IF(e26b&gt;VALUE(H10),0,VALUE(H10)-e26b))*(e36e+ee6e))*(IF(e5x,est,0)+1/(1-egt))</f>
        <v>49.763157894736842</v>
      </c>
    </row>
    <row r="11" spans="2:9" x14ac:dyDescent="0.25">
      <c r="B11" s="3" t="s">
        <v>45</v>
      </c>
      <c r="C11" s="21">
        <v>0</v>
      </c>
      <c r="D11" s="1">
        <f>(gc7f*IF(g1f="month",1,g7d)+MIN(IF(g17b=0,VALUE(C11),g17b),VALUE(C11))*(g17e+g17p)+MIN(IF(g17b=0,0,MAX(VALUE(C11)-g17b,0)),MAX(VALUE(C11)-g17b,0))*(g27e+g27p))*(IF(g5x,gst,0)+1/(1-ggt))</f>
        <v>20.526315789473681</v>
      </c>
      <c r="G11" s="2" t="s">
        <v>45</v>
      </c>
      <c r="H11" s="19">
        <v>467</v>
      </c>
      <c r="I11" s="1">
        <f>(ec7f*IF(e1f="month",1,e7d)+IF(e17b=0,VALUE(H11),IF(e17b&gt;VALUE(H11),VALUE(H11),e17b))*(e17e+ee7e)+IF(e17b=0,0,IF(e17b&gt;VALUE(H11),0,IF(e27b=0,VALUE(H11)-e17b,IF(e27b&gt;VALUE(H11),VALUE(H11)-e17b,e27b-e17b))))*(e27e+ee7e)+IF(e27b=0,0,IF(e27b&gt;VALUE(H11),0,VALUE(H11)-e27b))*(e37e+ee7e))*(IF(e5x,est,0)+1/(1-egt))</f>
        <v>66.213157894736838</v>
      </c>
    </row>
    <row r="12" spans="2:9" x14ac:dyDescent="0.25">
      <c r="B12" s="3" t="s">
        <v>46</v>
      </c>
      <c r="C12" s="21">
        <v>1</v>
      </c>
      <c r="D12" s="1">
        <f>(gc8f*IF(g1f="month",1,g8d)+MIN(IF(g18b=0,VALUE(C12),g18b),VALUE(C12))*(g18e+g18p)+MIN(IF(g18b=0,0,MAX(VALUE(C12)-g18b,0)),MAX(VALUE(C12)-g18b,0))*(g28e+g28p))*(IF(g5x,gst,0)+1/(1-ggt))</f>
        <v>21.450747368421052</v>
      </c>
      <c r="G12" s="2" t="s">
        <v>46</v>
      </c>
      <c r="H12" s="19">
        <v>424</v>
      </c>
      <c r="I12" s="1">
        <f>(ec8f*IF(e1f="month",1,e8d)+IF(e18b=0,VALUE(H12),IF(e18b&gt;VALUE(H12),VALUE(H12),e18b))*(e18e+ee8e)+IF(e18b=0,0,IF(e18b&gt;VALUE(H12),0,IF(e28b=0,VALUE(H12)-e18b,IF(e28b&gt;VALUE(H12),VALUE(H12)-e18b,e28b-e18b))))*(e28e+ee8e)+IF(e28b=0,0,IF(e28b&gt;VALUE(H12),0,VALUE(H12)-e28b))*(e38e+ee8e))*(IF(e5x,est,0)+1/(1-egt))</f>
        <v>60.89473684210526</v>
      </c>
    </row>
    <row r="13" spans="2:9" x14ac:dyDescent="0.25">
      <c r="B13" s="3" t="s">
        <v>47</v>
      </c>
      <c r="C13" s="21">
        <v>40</v>
      </c>
      <c r="D13" s="1">
        <f>(gc9f*IF(g1f="month",1,g9d)+MIN(IF(g19b=0,VALUE(C13),g19b),VALUE(C13))*(g19e+g19p)+MIN(IF(g19b=0,0,MAX(VALUE(C13)-g19b,0)),MAX(VALUE(C13)-g19b,0))*(g29e+g29p))*(IF(g5x,gst,0)+1/(1-ggt))</f>
        <v>55.820105263157892</v>
      </c>
      <c r="G13" s="2" t="s">
        <v>47</v>
      </c>
      <c r="H13" s="19">
        <v>202</v>
      </c>
      <c r="I13" s="1">
        <f>(ec9f*IF(e1f="month",1,e9d)+IF(e19b=0,VALUE(H13),IF(e19b&gt;VALUE(H13),VALUE(H13),e19b))*(e19e+ee9e)+IF(e19b=0,0,IF(e19b&gt;VALUE(H13),0,IF(e29b=0,VALUE(H13)-e19b,IF(e29b&gt;VALUE(H13),VALUE(H13)-e19b,e29b-e19b))))*(e29e+ee9e)+IF(e29b=0,0,IF(e29b&gt;VALUE(H13),0,VALUE(H13)-e29b))*(e39e+ee9e))*(IF(e5x,est,0)+1/(1-egt))</f>
        <v>26.611368421052628</v>
      </c>
    </row>
    <row r="14" spans="2:9" x14ac:dyDescent="0.25">
      <c r="B14" s="3" t="s">
        <v>48</v>
      </c>
      <c r="C14" s="21">
        <v>235</v>
      </c>
      <c r="D14" s="1">
        <f>(gcaf*IF(g1f="month",1,gad)+MIN(IF(g1ab=0,VALUE(C14),g1ab),VALUE(C14))*(g1ae+g1ap)+MIN(IF(g1ab=0,0,MAX(VALUE(C14)-g1ab,0)),MAX(VALUE(C14)-g1ab,0))*(g2ae+g2ap))*(IF(g5x,gst,0)+1/(1-ggt))</f>
        <v>203.25652631578947</v>
      </c>
      <c r="G14" s="2" t="s">
        <v>48</v>
      </c>
      <c r="H14" s="19">
        <v>41</v>
      </c>
      <c r="I14" s="1">
        <f>(ecaf*IF(e1f="month",1,ead)+IF(e1ab=0,VALUE(H14),IF(e1ab&gt;VALUE(H14),VALUE(H14),e1ab))*(e1ae+eeae)+IF(e1ab=0,0,IF(e1ab&gt;VALUE(H14),0,IF(e2ab=0,VALUE(H14)-e1ab,IF(e2ab&gt;VALUE(H14),VALUE(H14)-e1ab,e2ab-e1ab))))*(e2ae+eeae)+IF(e2ab=0,0,IF(e2ab&gt;VALUE(H14),0,VALUE(H14)-e2ab))*(e3ae+eeae))*(IF(e5x,est,0)+1/(1-egt))</f>
        <v>12.138315789473683</v>
      </c>
    </row>
    <row r="15" spans="2:9" x14ac:dyDescent="0.25">
      <c r="B15" s="3" t="s">
        <v>49</v>
      </c>
      <c r="C15" s="21">
        <v>550</v>
      </c>
      <c r="D15" s="1">
        <f>(gcbf*IF(g1f="month",1,gbd)+MIN(IF(g1bb=0,VALUE(C15),g1bb),VALUE(C15))*(g1be+g1bp)+MIN(IF(g1bb=0,0,MAX(VALUE(C15)-g1bb,0)),MAX(VALUE(C15)-g1bb,0))*(g2be+g2bp))*(IF(g5x,gst,0)+1/(1-ggt))</f>
        <v>394.03157894736842</v>
      </c>
      <c r="G15" s="2" t="s">
        <v>49</v>
      </c>
      <c r="H15" s="19">
        <v>4</v>
      </c>
      <c r="I15" s="1">
        <f>(ecbf*IF(e1f="month",1,ebd)+IF(e1bb=0,VALUE(H15),IF(e1bb&gt;VALUE(H15),VALUE(H15),e1bb))*(e1be+eebe)+IF(e1bb=0,0,IF(e1bb&gt;VALUE(H15),0,IF(e2bb=0,VALUE(H15)-e1bb,IF(e2bb&gt;VALUE(H15),VALUE(H15)-e1bb,e2bb-e1bb))))*(e2be+eebe)+IF(e2bb=0,0,IF(e2bb&gt;VALUE(H15),0,VALUE(H15)-e2bb))*(e3be+eebe))*(IF(e5x,est,0)+1/(1-egt))</f>
        <v>8.8122105263157877</v>
      </c>
    </row>
    <row r="16" spans="2:9" x14ac:dyDescent="0.25">
      <c r="B16" s="3" t="s">
        <v>50</v>
      </c>
      <c r="C16" s="21">
        <v>939</v>
      </c>
      <c r="D16" s="1">
        <f>(gccf*IF(g1f="month",1,gcd)+MIN(IF(g1cb=0,VALUE(C16),g1cb),VALUE(C16))*(g1ce+g1cp)+MIN(IF(g1cb=0,0,MAX(VALUE(C16)-g1cb,0)),MAX(VALUE(C16)-g1cb,0))*(g2ce+g2cp))*(IF(g5x,gst,0)+1/(1-ggt))</f>
        <v>643.1758421052632</v>
      </c>
      <c r="G16" s="2" t="s">
        <v>50</v>
      </c>
      <c r="H16" s="19">
        <v>0</v>
      </c>
      <c r="I16" s="1">
        <f>(eccf*IF(e1f="month",1,ecd)+IF(e1cb=0,VALUE(H16),IF(e1cb&gt;VALUE(H16),VALUE(H16),e1cb))*(e1ce+eece)+IF(e1cb=0,0,IF(e1cb&gt;VALUE(H16),0,IF(e2cb=0,VALUE(H16)-e1cb,IF(e2cb&gt;VALUE(H16),VALUE(H16)-e1cb,e2cb-e1cb))))*(e2ce+eece)+IF(e2cb=0,0,IF(e2cb&gt;VALUE(H16),0,VALUE(H16)-e2cb))*(e3ce+eece))*(IF(e5x,est,0)+1/(1-egt))</f>
        <v>8.4526315789473667</v>
      </c>
    </row>
    <row r="17" spans="2:9" x14ac:dyDescent="0.25">
      <c r="B17" s="3" t="s">
        <v>90</v>
      </c>
      <c r="C17" s="21">
        <f>SUM(C5:C16)</f>
        <v>4535</v>
      </c>
      <c r="D17" s="1">
        <f>SUM(D5:D16)</f>
        <v>3335.5354526315791</v>
      </c>
      <c r="G17" s="1" t="s">
        <v>90</v>
      </c>
      <c r="H17" s="19">
        <f>SUM(H5:H16)</f>
        <v>1646</v>
      </c>
      <c r="I17" s="1">
        <f>SUM(I5:I16)</f>
        <v>295.11547368421049</v>
      </c>
    </row>
    <row r="19" spans="2:9" x14ac:dyDescent="0.25">
      <c r="B19" s="3" t="s">
        <v>136</v>
      </c>
      <c r="D19" s="5">
        <f>g3x</f>
        <v>41702</v>
      </c>
      <c r="G19" s="3" t="s">
        <v>136</v>
      </c>
      <c r="I19" s="5">
        <f>e3x</f>
        <v>41666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zoomScale="60" zoomScaleNormal="60" workbookViewId="0">
      <selection activeCell="C23" sqref="C23"/>
    </sheetView>
  </sheetViews>
  <sheetFormatPr defaultRowHeight="15" x14ac:dyDescent="0.25"/>
  <cols>
    <col min="1" max="2" width="9.140625" style="6"/>
    <col min="3" max="3" width="10.7109375" style="6" customWidth="1"/>
    <col min="4" max="4" width="9.140625" style="6" customWidth="1"/>
    <col min="5" max="5" width="10.7109375" style="6" customWidth="1"/>
    <col min="6" max="7" width="9.140625" style="6"/>
    <col min="8" max="8" width="25.7109375" style="6" customWidth="1"/>
    <col min="9" max="24" width="10.7109375" style="6" customWidth="1"/>
    <col min="25" max="16384" width="9.140625" style="6"/>
  </cols>
  <sheetData>
    <row r="1" spans="1:27" x14ac:dyDescent="0.25">
      <c r="A1" s="1" t="str">
        <f>g2x</f>
        <v>Laclede Residential</v>
      </c>
      <c r="E1" s="5">
        <f>g3x</f>
        <v>41702</v>
      </c>
      <c r="M1" s="8" t="s">
        <v>74</v>
      </c>
      <c r="O1" s="8" t="s">
        <v>77</v>
      </c>
      <c r="Q1" s="8" t="s">
        <v>77</v>
      </c>
      <c r="S1" s="8" t="s">
        <v>77</v>
      </c>
      <c r="U1" s="8" t="s">
        <v>78</v>
      </c>
      <c r="W1" s="8" t="s">
        <v>78</v>
      </c>
      <c r="AA1" s="8"/>
    </row>
    <row r="2" spans="1:27" x14ac:dyDescent="0.25">
      <c r="A2" s="6" t="s">
        <v>71</v>
      </c>
      <c r="B2" s="6" t="s">
        <v>76</v>
      </c>
      <c r="D2" s="6" t="s">
        <v>38</v>
      </c>
      <c r="E2" s="8" t="s">
        <v>144</v>
      </c>
      <c r="F2" s="8" t="str">
        <f>"*IF(g1f="&amp;CHAR(34)&amp;"month"&amp;CHAR(34)&amp;",1,"</f>
        <v>*IF(g1f="month",1,</v>
      </c>
      <c r="I2" s="8" t="s">
        <v>14</v>
      </c>
      <c r="J2" s="9" t="str">
        <f>g4x</f>
        <v>Therm</v>
      </c>
      <c r="K2" s="6" t="s">
        <v>86</v>
      </c>
      <c r="L2" s="6" t="s">
        <v>127</v>
      </c>
      <c r="M2" s="8" t="s">
        <v>118</v>
      </c>
      <c r="N2" s="8" t="s">
        <v>119</v>
      </c>
      <c r="O2" s="8" t="s">
        <v>129</v>
      </c>
      <c r="P2" s="8" t="s">
        <v>130</v>
      </c>
      <c r="Q2" s="8" t="s">
        <v>128</v>
      </c>
      <c r="R2" s="8" t="s">
        <v>134</v>
      </c>
      <c r="S2" s="6" t="s">
        <v>135</v>
      </c>
      <c r="T2" s="8" t="s">
        <v>131</v>
      </c>
      <c r="U2" s="8" t="s">
        <v>121</v>
      </c>
      <c r="V2" s="8" t="s">
        <v>132</v>
      </c>
      <c r="W2" s="8" t="s">
        <v>120</v>
      </c>
      <c r="X2" s="6" t="s">
        <v>133</v>
      </c>
    </row>
    <row r="3" spans="1:27" x14ac:dyDescent="0.25">
      <c r="A3" s="8" t="s">
        <v>77</v>
      </c>
      <c r="B3" s="10" t="b">
        <v>1</v>
      </c>
      <c r="C3" s="6" t="str">
        <f>$A$2&amp;$A3&amp;C$15</f>
        <v>g1d</v>
      </c>
      <c r="D3" s="10">
        <v>31</v>
      </c>
      <c r="E3" s="8" t="s">
        <v>106</v>
      </c>
      <c r="F3" s="6" t="str">
        <f>$E$2&amp;M3&amp;$F$2&amp;C3&amp;$L$2&amp;S3&amp;$M$2&amp;E3&amp;$N$2&amp;S3&amp;$Q$2&amp;E3&amp;$V$2&amp;O3&amp;$W$2&amp;Q3&amp;$L$2&amp;S3&amp;$M$2&amp;$O$2&amp;$T$2&amp;E3&amp;$U$2&amp;S3&amp;$R$2&amp;$Q$2&amp;$T$2&amp;E3&amp;$U$2&amp;S3&amp;$R$2&amp;$V$2&amp;U3&amp;$W$2&amp;W3&amp;$X$2</f>
        <v>=(gc1f*IF(g1f="month",1,g1d)+MIN(IF(g11b=0,value(J3),g11b),value(J3))*(g11e+g11p)+MIN(IF(g11b=0,0,MAX(value(J3)-g11b,0)),MAX(value(J3)-g11b,0))*(g21e+g21p))*(IF(g5x,gst,0)+1/(1-ggt))</v>
      </c>
      <c r="I3" s="8" t="s">
        <v>39</v>
      </c>
      <c r="J3" s="11">
        <v>1029</v>
      </c>
      <c r="K3" s="1">
        <f>(gc1f*IF(g1f="month",1,g1d)+MIN(IF(g11b=0,VALUE(J3),g11b),VALUE(J3))*(g11e+g11p)+MIN(IF(g11b=0,0,MAX(VALUE(J3)-g11b,0)),MAX(VALUE(J3)-g11b,0))*(g21e+g21p))*(IF(g5x,gst,0)+1/(1-ggt))</f>
        <v>700.81847368421063</v>
      </c>
      <c r="M3" s="6" t="str">
        <f>$A$2&amp;M$1&amp;$A3&amp;M$15</f>
        <v>gc1f</v>
      </c>
      <c r="N3" s="6">
        <f t="shared" ref="N3:N14" si="0">IF(B3,g2wf+g3wf,g2sf+g3sf)</f>
        <v>19.5</v>
      </c>
      <c r="O3" s="6" t="str">
        <f>$A$2&amp;O$1&amp;$A3&amp;O$15</f>
        <v>g11e</v>
      </c>
      <c r="P3" s="6">
        <f t="shared" ref="P3:P14" si="1">IF(B3,g1we,g1se)</f>
        <v>0.91686000000000001</v>
      </c>
      <c r="Q3" s="6" t="str">
        <f>$A$2&amp;Q$1&amp;$A3&amp;Q$15</f>
        <v>g11p</v>
      </c>
      <c r="R3" s="6">
        <f t="shared" ref="R3:R14" si="2">IF(B3,g1wp,g1sp)</f>
        <v>0.36434</v>
      </c>
      <c r="S3" s="6" t="str">
        <f>$A$2&amp;S$1&amp;$A3&amp;S$15</f>
        <v>g11b</v>
      </c>
      <c r="T3" s="6">
        <f t="shared" ref="T3:T14" si="3">IF(B3,g1wb,g1sb)</f>
        <v>30</v>
      </c>
      <c r="U3" s="6" t="str">
        <f>$A$2&amp;U$1&amp;$A3&amp;U$15</f>
        <v>g21e</v>
      </c>
      <c r="V3" s="6">
        <f t="shared" ref="V3:V14" si="4">IF(B3,g2we,g2se)</f>
        <v>0</v>
      </c>
      <c r="W3" s="6" t="str">
        <f>$A$2&amp;W$1&amp;$A3&amp;W$15</f>
        <v>g21p</v>
      </c>
      <c r="X3" s="6">
        <f t="shared" ref="X3:X14" si="5">IF(B3,g2wp,g2sp)</f>
        <v>0.60845000000000005</v>
      </c>
    </row>
    <row r="4" spans="1:27" x14ac:dyDescent="0.25">
      <c r="A4" s="8" t="s">
        <v>78</v>
      </c>
      <c r="B4" s="10" t="b">
        <f>TRUE</f>
        <v>1</v>
      </c>
      <c r="C4" s="6" t="str">
        <f t="shared" ref="C4:C14" si="6">$A$2&amp;$A4&amp;C$15</f>
        <v>g2d</v>
      </c>
      <c r="D4" s="10">
        <v>28</v>
      </c>
      <c r="E4" s="8" t="s">
        <v>107</v>
      </c>
      <c r="F4" s="6" t="str">
        <f t="shared" ref="F4:F14" si="7">$E$2&amp;M4&amp;$F$2&amp;C4&amp;$L$2&amp;S4&amp;$M$2&amp;E4&amp;$N$2&amp;S4&amp;$Q$2&amp;E4&amp;$V$2&amp;O4&amp;$W$2&amp;Q4&amp;$L$2&amp;S4&amp;$M$2&amp;$O$2&amp;$T$2&amp;E4&amp;$U$2&amp;S4&amp;$R$2&amp;$Q$2&amp;$T$2&amp;E4&amp;$U$2&amp;S4&amp;$R$2&amp;$V$2&amp;U4&amp;$W$2&amp;W4&amp;$X$2</f>
        <v>=(gc2f*IF(g1f="month",1,g2d)+MIN(IF(g12b=0,value(J4),g12b),value(J4))*(g12e+g12p)+MIN(IF(g12b=0,0,MAX(value(J4)-g12b,0)),MAX(value(J4)-g12b,0))*(g22e+g22p))*(IF(g5x,gst,0)+1/(1-ggt))</v>
      </c>
      <c r="I4" s="8" t="s">
        <v>40</v>
      </c>
      <c r="J4" s="11">
        <v>804</v>
      </c>
      <c r="K4" s="1">
        <f>(gc2f*IF(g1f="month",1,g2d)+MIN(IF(g12b=0,VALUE(J4),g12b),VALUE(J4))*(g12e+g12p)+MIN(IF(g12b=0,0,MAX(VALUE(J4)-g12b,0)),MAX(VALUE(J4)-g12b,0))*(g22e+g22p))*(IF(g5x,gst,0)+1/(1-ggt))</f>
        <v>556.71189473684205</v>
      </c>
      <c r="M4" s="6" t="str">
        <f t="shared" ref="M4:M14" si="8">$A$2&amp;M$1&amp;$A4&amp;M$15</f>
        <v>gc2f</v>
      </c>
      <c r="N4" s="6">
        <f t="shared" si="0"/>
        <v>19.5</v>
      </c>
      <c r="O4" s="6" t="str">
        <f t="shared" ref="O4:O14" si="9">$A$2&amp;O$1&amp;$A4&amp;O$15</f>
        <v>g12e</v>
      </c>
      <c r="P4" s="6">
        <f t="shared" si="1"/>
        <v>0.91686000000000001</v>
      </c>
      <c r="Q4" s="6" t="str">
        <f t="shared" ref="Q4:Q14" si="10">$A$2&amp;Q$1&amp;$A4&amp;Q$15</f>
        <v>g12p</v>
      </c>
      <c r="R4" s="6">
        <f t="shared" si="2"/>
        <v>0.36434</v>
      </c>
      <c r="S4" s="6" t="str">
        <f t="shared" ref="S4:S14" si="11">$A$2&amp;Q$1&amp;$A4&amp;S$15</f>
        <v>g12b</v>
      </c>
      <c r="T4" s="6">
        <f t="shared" si="3"/>
        <v>30</v>
      </c>
      <c r="U4" s="6" t="str">
        <f t="shared" ref="U4:U14" si="12">$A$2&amp;U$1&amp;$A4&amp;U$15</f>
        <v>g22e</v>
      </c>
      <c r="V4" s="6">
        <f t="shared" si="4"/>
        <v>0</v>
      </c>
      <c r="W4" s="6" t="str">
        <f t="shared" ref="W4:W14" si="13">$A$2&amp;W$1&amp;$A4&amp;W$15</f>
        <v>g22p</v>
      </c>
      <c r="X4" s="6">
        <f t="shared" si="5"/>
        <v>0.60845000000000005</v>
      </c>
    </row>
    <row r="5" spans="1:27" x14ac:dyDescent="0.25">
      <c r="A5" s="8" t="s">
        <v>79</v>
      </c>
      <c r="B5" s="10" t="b">
        <v>1</v>
      </c>
      <c r="C5" s="6" t="str">
        <f t="shared" si="6"/>
        <v>g3d</v>
      </c>
      <c r="D5" s="10">
        <v>31</v>
      </c>
      <c r="E5" s="8" t="s">
        <v>108</v>
      </c>
      <c r="F5" s="6" t="str">
        <f t="shared" si="7"/>
        <v>=(gc3f*IF(g1f="month",1,g3d)+MIN(IF(g13b=0,value(J5),g13b),value(J5))*(g13e+g13p)+MIN(IF(g13b=0,0,MAX(value(J5)-g13b,0)),MAX(value(J5)-g13b,0))*(g23e+g23p))*(IF(g5x,gst,0)+1/(1-ggt))</v>
      </c>
      <c r="I5" s="8" t="s">
        <v>41</v>
      </c>
      <c r="J5" s="11">
        <v>588</v>
      </c>
      <c r="K5" s="1">
        <f>(gc3f*IF(g1f="month",1,g3d)+MIN(IF(g13b=0,VALUE(J5),g13b),VALUE(J5))*(g13e+g13p)+MIN(IF(g13b=0,0,MAX(VALUE(J5)-g13b,0)),MAX(VALUE(J5)-g13b,0))*(g23e+g23p))*(IF(g5x,gst,0)+1/(1-ggt))</f>
        <v>418.36957894736838</v>
      </c>
      <c r="M5" s="6" t="str">
        <f t="shared" si="8"/>
        <v>gc3f</v>
      </c>
      <c r="N5" s="6">
        <f t="shared" si="0"/>
        <v>19.5</v>
      </c>
      <c r="O5" s="6" t="str">
        <f t="shared" si="9"/>
        <v>g13e</v>
      </c>
      <c r="P5" s="6">
        <f t="shared" si="1"/>
        <v>0.91686000000000001</v>
      </c>
      <c r="Q5" s="6" t="str">
        <f t="shared" si="10"/>
        <v>g13p</v>
      </c>
      <c r="R5" s="6">
        <f t="shared" si="2"/>
        <v>0.36434</v>
      </c>
      <c r="S5" s="6" t="str">
        <f t="shared" si="11"/>
        <v>g13b</v>
      </c>
      <c r="T5" s="6">
        <f t="shared" si="3"/>
        <v>30</v>
      </c>
      <c r="U5" s="6" t="str">
        <f t="shared" si="12"/>
        <v>g23e</v>
      </c>
      <c r="V5" s="6">
        <f t="shared" si="4"/>
        <v>0</v>
      </c>
      <c r="W5" s="6" t="str">
        <f t="shared" si="13"/>
        <v>g23p</v>
      </c>
      <c r="X5" s="6">
        <f t="shared" si="5"/>
        <v>0.60845000000000005</v>
      </c>
    </row>
    <row r="6" spans="1:27" x14ac:dyDescent="0.25">
      <c r="A6" s="8" t="s">
        <v>80</v>
      </c>
      <c r="B6" s="10" t="b">
        <f>TRUE</f>
        <v>1</v>
      </c>
      <c r="C6" s="6" t="str">
        <f t="shared" si="6"/>
        <v>g4d</v>
      </c>
      <c r="D6" s="10">
        <v>30</v>
      </c>
      <c r="E6" s="8" t="s">
        <v>109</v>
      </c>
      <c r="F6" s="6" t="str">
        <f t="shared" si="7"/>
        <v>=(gc4f*IF(g1f="month",1,g4d)+MIN(IF(g14b=0,value(J6),g14b),value(J6))*(g14e+g14p)+MIN(IF(g14b=0,0,MAX(value(J6)-g14b,0)),MAX(value(J6)-g14b,0))*(g24e+g24p))*(IF(g5x,gst,0)+1/(1-ggt))</v>
      </c>
      <c r="I6" s="8" t="s">
        <v>42</v>
      </c>
      <c r="J6" s="11">
        <v>270</v>
      </c>
      <c r="K6" s="1">
        <f>(gc4f*IF(g1f="month",1,g4d)+MIN(IF(g14b=0,VALUE(J6),g14b),VALUE(J6))*(g14e+g14p)+MIN(IF(g14b=0,0,MAX(VALUE(J6)-g14b,0)),MAX(VALUE(J6)-g14b,0))*(g24e+g24p))*(IF(g5x,gst,0)+1/(1-ggt))</f>
        <v>214.69894736842107</v>
      </c>
      <c r="M6" s="6" t="str">
        <f t="shared" si="8"/>
        <v>gc4f</v>
      </c>
      <c r="N6" s="6">
        <f t="shared" si="0"/>
        <v>19.5</v>
      </c>
      <c r="O6" s="6" t="str">
        <f t="shared" si="9"/>
        <v>g14e</v>
      </c>
      <c r="P6" s="6">
        <f t="shared" si="1"/>
        <v>0.91686000000000001</v>
      </c>
      <c r="Q6" s="6" t="str">
        <f t="shared" si="10"/>
        <v>g14p</v>
      </c>
      <c r="R6" s="6">
        <f t="shared" si="2"/>
        <v>0.36434</v>
      </c>
      <c r="S6" s="6" t="str">
        <f t="shared" si="11"/>
        <v>g14b</v>
      </c>
      <c r="T6" s="6">
        <f t="shared" si="3"/>
        <v>30</v>
      </c>
      <c r="U6" s="6" t="str">
        <f t="shared" si="12"/>
        <v>g24e</v>
      </c>
      <c r="V6" s="6">
        <f t="shared" si="4"/>
        <v>0</v>
      </c>
      <c r="W6" s="6" t="str">
        <f t="shared" si="13"/>
        <v>g24p</v>
      </c>
      <c r="X6" s="6">
        <f t="shared" si="5"/>
        <v>0.60845000000000005</v>
      </c>
    </row>
    <row r="7" spans="1:27" x14ac:dyDescent="0.25">
      <c r="A7" s="8" t="s">
        <v>81</v>
      </c>
      <c r="B7" s="10" t="b">
        <v>0</v>
      </c>
      <c r="C7" s="6" t="str">
        <f t="shared" si="6"/>
        <v>g5d</v>
      </c>
      <c r="D7" s="10">
        <v>31</v>
      </c>
      <c r="E7" s="8" t="s">
        <v>110</v>
      </c>
      <c r="F7" s="6" t="str">
        <f t="shared" si="7"/>
        <v>=(gc5f*IF(g1f="month",1,g5d)+MIN(IF(g15b=0,value(J7),g15b),value(J7))*(g15e+g15p)+MIN(IF(g15b=0,0,MAX(value(J7)-g15b,0)),MAX(value(J7)-g15b,0))*(g25e+g25p))*(IF(g5x,gst,0)+1/(1-ggt))</v>
      </c>
      <c r="I7" s="8" t="s">
        <v>43</v>
      </c>
      <c r="J7" s="11">
        <v>74</v>
      </c>
      <c r="K7" s="1">
        <f>(gc5f*IF(g1f="month",1,g5d)+MIN(IF(g15b=0,VALUE(J7),g15b),VALUE(J7))*(g15e+g15p)+MIN(IF(g15b=0,0,MAX(VALUE(J7)-g15b,0)),MAX(VALUE(J7)-g15b,0))*(g25e+g25p))*(IF(g5x,gst,0)+1/(1-ggt))</f>
        <v>81.526968421052629</v>
      </c>
      <c r="M7" s="6" t="str">
        <f t="shared" si="8"/>
        <v>gc5f</v>
      </c>
      <c r="N7" s="6">
        <f t="shared" si="0"/>
        <v>19.5</v>
      </c>
      <c r="O7" s="6" t="str">
        <f t="shared" si="9"/>
        <v>g15e</v>
      </c>
      <c r="P7" s="6">
        <f t="shared" si="1"/>
        <v>0.31290000000000001</v>
      </c>
      <c r="Q7" s="6" t="str">
        <f t="shared" si="10"/>
        <v>g15p</v>
      </c>
      <c r="R7" s="6">
        <f t="shared" si="2"/>
        <v>0.56530999999999998</v>
      </c>
      <c r="S7" s="6" t="str">
        <f t="shared" si="11"/>
        <v>g15b</v>
      </c>
      <c r="T7" s="6">
        <f t="shared" si="3"/>
        <v>30</v>
      </c>
      <c r="U7" s="6" t="str">
        <f t="shared" si="12"/>
        <v>g25e</v>
      </c>
      <c r="V7" s="6">
        <f t="shared" si="4"/>
        <v>0.15296999999999999</v>
      </c>
      <c r="W7" s="6" t="str">
        <f t="shared" si="13"/>
        <v>g25p</v>
      </c>
      <c r="X7" s="6">
        <f t="shared" si="5"/>
        <v>0.56530999999999998</v>
      </c>
    </row>
    <row r="8" spans="1:27" x14ac:dyDescent="0.25">
      <c r="A8" s="8" t="s">
        <v>82</v>
      </c>
      <c r="B8" s="10" t="b">
        <f>FALSE</f>
        <v>0</v>
      </c>
      <c r="C8" s="6" t="str">
        <f t="shared" si="6"/>
        <v>g6d</v>
      </c>
      <c r="D8" s="10">
        <v>30</v>
      </c>
      <c r="E8" s="8" t="s">
        <v>111</v>
      </c>
      <c r="F8" s="6" t="str">
        <f t="shared" si="7"/>
        <v>=(gc6f*IF(g1f="month",1,g6d)+MIN(IF(g16b=0,value(J8),g16b),value(J8))*(g16e+g16p)+MIN(IF(g16b=0,0,MAX(value(J8)-g16b,0)),MAX(value(J8)-g16b,0))*(g26e+g26p))*(IF(g5x,gst,0)+1/(1-ggt))</v>
      </c>
      <c r="I8" s="8" t="s">
        <v>44</v>
      </c>
      <c r="J8" s="11">
        <v>5</v>
      </c>
      <c r="K8" s="1">
        <f>(gc6f*IF(g1f="month",1,g6d)+MIN(IF(g16b=0,VALUE(J8),g16b),VALUE(J8))*(g16e+g16p)+MIN(IF(g16b=0,0,MAX(VALUE(J8)-g16b,0)),MAX(VALUE(J8)-g16b,0))*(g26e+g26p))*(IF(g5x,gst,0)+1/(1-ggt))</f>
        <v>25.148473684210526</v>
      </c>
      <c r="M8" s="6" t="str">
        <f t="shared" si="8"/>
        <v>gc6f</v>
      </c>
      <c r="N8" s="6">
        <f t="shared" si="0"/>
        <v>19.5</v>
      </c>
      <c r="O8" s="6" t="str">
        <f t="shared" si="9"/>
        <v>g16e</v>
      </c>
      <c r="P8" s="6">
        <f t="shared" si="1"/>
        <v>0.31290000000000001</v>
      </c>
      <c r="Q8" s="6" t="str">
        <f t="shared" si="10"/>
        <v>g16p</v>
      </c>
      <c r="R8" s="6">
        <f t="shared" si="2"/>
        <v>0.56530999999999998</v>
      </c>
      <c r="S8" s="6" t="str">
        <f t="shared" si="11"/>
        <v>g16b</v>
      </c>
      <c r="T8" s="6">
        <f t="shared" si="3"/>
        <v>30</v>
      </c>
      <c r="U8" s="6" t="str">
        <f t="shared" si="12"/>
        <v>g26e</v>
      </c>
      <c r="V8" s="6">
        <f t="shared" si="4"/>
        <v>0.15296999999999999</v>
      </c>
      <c r="W8" s="6" t="str">
        <f t="shared" si="13"/>
        <v>g26p</v>
      </c>
      <c r="X8" s="6">
        <f t="shared" si="5"/>
        <v>0.56530999999999998</v>
      </c>
    </row>
    <row r="9" spans="1:27" x14ac:dyDescent="0.25">
      <c r="A9" s="8" t="s">
        <v>83</v>
      </c>
      <c r="B9" s="10" t="b">
        <v>0</v>
      </c>
      <c r="C9" s="6" t="str">
        <f t="shared" si="6"/>
        <v>g7d</v>
      </c>
      <c r="D9" s="10">
        <v>31</v>
      </c>
      <c r="E9" s="8" t="s">
        <v>112</v>
      </c>
      <c r="F9" s="6" t="str">
        <f t="shared" si="7"/>
        <v>=(gc7f*IF(g1f="month",1,g7d)+MIN(IF(g17b=0,value(J9),g17b),value(J9))*(g17e+g17p)+MIN(IF(g17b=0,0,MAX(value(J9)-g17b,0)),MAX(value(J9)-g17b,0))*(g27e+g27p))*(IF(g5x,gst,0)+1/(1-ggt))</v>
      </c>
      <c r="I9" s="8" t="s">
        <v>45</v>
      </c>
      <c r="J9" s="11">
        <v>0</v>
      </c>
      <c r="K9" s="1">
        <f>(gc7f*IF(g1f="month",1,g7d)+MIN(IF(g17b=0,VALUE(J9),g17b),VALUE(J9))*(g17e+g17p)+MIN(IF(g17b=0,0,MAX(VALUE(J9)-g17b,0)),MAX(VALUE(J9)-g17b,0))*(g27e+g27p))*(IF(g5x,gst,0)+1/(1-ggt))</f>
        <v>20.526315789473681</v>
      </c>
      <c r="M9" s="6" t="str">
        <f t="shared" si="8"/>
        <v>gc7f</v>
      </c>
      <c r="N9" s="6">
        <f t="shared" si="0"/>
        <v>19.5</v>
      </c>
      <c r="O9" s="6" t="str">
        <f t="shared" si="9"/>
        <v>g17e</v>
      </c>
      <c r="P9" s="6">
        <f t="shared" si="1"/>
        <v>0.31290000000000001</v>
      </c>
      <c r="Q9" s="6" t="str">
        <f t="shared" si="10"/>
        <v>g17p</v>
      </c>
      <c r="R9" s="6">
        <f t="shared" si="2"/>
        <v>0.56530999999999998</v>
      </c>
      <c r="S9" s="6" t="str">
        <f t="shared" si="11"/>
        <v>g17b</v>
      </c>
      <c r="T9" s="6">
        <f t="shared" si="3"/>
        <v>30</v>
      </c>
      <c r="U9" s="6" t="str">
        <f t="shared" si="12"/>
        <v>g27e</v>
      </c>
      <c r="V9" s="6">
        <f t="shared" si="4"/>
        <v>0.15296999999999999</v>
      </c>
      <c r="W9" s="6" t="str">
        <f t="shared" si="13"/>
        <v>g27p</v>
      </c>
      <c r="X9" s="6">
        <f t="shared" si="5"/>
        <v>0.56530999999999998</v>
      </c>
    </row>
    <row r="10" spans="1:27" x14ac:dyDescent="0.25">
      <c r="A10" s="8" t="s">
        <v>84</v>
      </c>
      <c r="B10" s="10" t="b">
        <v>0</v>
      </c>
      <c r="C10" s="6" t="str">
        <f t="shared" si="6"/>
        <v>g8d</v>
      </c>
      <c r="D10" s="10">
        <v>31</v>
      </c>
      <c r="E10" s="8" t="s">
        <v>113</v>
      </c>
      <c r="F10" s="6" t="str">
        <f t="shared" si="7"/>
        <v>=(gc8f*IF(g1f="month",1,g8d)+MIN(IF(g18b=0,value(J10),g18b),value(J10))*(g18e+g18p)+MIN(IF(g18b=0,0,MAX(value(J10)-g18b,0)),MAX(value(J10)-g18b,0))*(g28e+g28p))*(IF(g5x,gst,0)+1/(1-ggt))</v>
      </c>
      <c r="I10" s="8" t="s">
        <v>46</v>
      </c>
      <c r="J10" s="11">
        <v>1</v>
      </c>
      <c r="K10" s="1">
        <f>(gc8f*IF(g1f="month",1,g8d)+MIN(IF(g18b=0,VALUE(J10),g18b),VALUE(J10))*(g18e+g18p)+MIN(IF(g18b=0,0,MAX(VALUE(J10)-g18b,0)),MAX(VALUE(J10)-g18b,0))*(g28e+g28p))*(IF(g5x,gst,0)+1/(1-ggt))</f>
        <v>21.450747368421052</v>
      </c>
      <c r="M10" s="6" t="str">
        <f t="shared" si="8"/>
        <v>gc8f</v>
      </c>
      <c r="N10" s="6">
        <f t="shared" si="0"/>
        <v>19.5</v>
      </c>
      <c r="O10" s="6" t="str">
        <f t="shared" si="9"/>
        <v>g18e</v>
      </c>
      <c r="P10" s="6">
        <f t="shared" si="1"/>
        <v>0.31290000000000001</v>
      </c>
      <c r="Q10" s="6" t="str">
        <f t="shared" si="10"/>
        <v>g18p</v>
      </c>
      <c r="R10" s="6">
        <f t="shared" si="2"/>
        <v>0.56530999999999998</v>
      </c>
      <c r="S10" s="6" t="str">
        <f t="shared" si="11"/>
        <v>g18b</v>
      </c>
      <c r="T10" s="6">
        <f t="shared" si="3"/>
        <v>30</v>
      </c>
      <c r="U10" s="6" t="str">
        <f t="shared" si="12"/>
        <v>g28e</v>
      </c>
      <c r="V10" s="6">
        <f t="shared" si="4"/>
        <v>0.15296999999999999</v>
      </c>
      <c r="W10" s="6" t="str">
        <f t="shared" si="13"/>
        <v>g28p</v>
      </c>
      <c r="X10" s="6">
        <f t="shared" si="5"/>
        <v>0.56530999999999998</v>
      </c>
    </row>
    <row r="11" spans="1:27" x14ac:dyDescent="0.25">
      <c r="A11" s="8" t="s">
        <v>85</v>
      </c>
      <c r="B11" s="10" t="b">
        <f>FALSE</f>
        <v>0</v>
      </c>
      <c r="C11" s="6" t="str">
        <f t="shared" si="6"/>
        <v>g9d</v>
      </c>
      <c r="D11" s="10">
        <v>30</v>
      </c>
      <c r="E11" s="8" t="s">
        <v>114</v>
      </c>
      <c r="F11" s="6" t="str">
        <f t="shared" si="7"/>
        <v>=(gc9f*IF(g1f="month",1,g9d)+MIN(IF(g19b=0,value(J11),g19b),value(J11))*(g19e+g19p)+MIN(IF(g19b=0,0,MAX(value(J11)-g19b,0)),MAX(value(J11)-g19b,0))*(g29e+g29p))*(IF(g5x,gst,0)+1/(1-ggt))</v>
      </c>
      <c r="I11" s="8" t="s">
        <v>47</v>
      </c>
      <c r="J11" s="11">
        <v>40</v>
      </c>
      <c r="K11" s="1">
        <f>(gc9f*IF(g1f="month",1,g9d)+MIN(IF(g19b=0,VALUE(J11),g19b),VALUE(J11))*(g19e+g19p)+MIN(IF(g19b=0,0,MAX(VALUE(J11)-g19b,0)),MAX(VALUE(J11)-g19b,0))*(g29e+g29p))*(IF(g5x,gst,0)+1/(1-ggt))</f>
        <v>55.820105263157892</v>
      </c>
      <c r="M11" s="6" t="str">
        <f t="shared" si="8"/>
        <v>gc9f</v>
      </c>
      <c r="N11" s="6">
        <f t="shared" si="0"/>
        <v>19.5</v>
      </c>
      <c r="O11" s="6" t="str">
        <f t="shared" si="9"/>
        <v>g19e</v>
      </c>
      <c r="P11" s="6">
        <f t="shared" si="1"/>
        <v>0.31290000000000001</v>
      </c>
      <c r="Q11" s="6" t="str">
        <f t="shared" si="10"/>
        <v>g19p</v>
      </c>
      <c r="R11" s="6">
        <f t="shared" si="2"/>
        <v>0.56530999999999998</v>
      </c>
      <c r="S11" s="6" t="str">
        <f t="shared" si="11"/>
        <v>g19b</v>
      </c>
      <c r="T11" s="6">
        <f t="shared" si="3"/>
        <v>30</v>
      </c>
      <c r="U11" s="6" t="str">
        <f t="shared" si="12"/>
        <v>g29e</v>
      </c>
      <c r="V11" s="6">
        <f t="shared" si="4"/>
        <v>0.15296999999999999</v>
      </c>
      <c r="W11" s="6" t="str">
        <f t="shared" si="13"/>
        <v>g29p</v>
      </c>
      <c r="X11" s="6">
        <f t="shared" si="5"/>
        <v>0.56530999999999998</v>
      </c>
    </row>
    <row r="12" spans="1:27" x14ac:dyDescent="0.25">
      <c r="A12" s="6" t="s">
        <v>72</v>
      </c>
      <c r="B12" s="10" t="b">
        <f>FALSE</f>
        <v>0</v>
      </c>
      <c r="C12" s="6" t="str">
        <f t="shared" si="6"/>
        <v>gad</v>
      </c>
      <c r="D12" s="10">
        <v>31</v>
      </c>
      <c r="E12" s="8" t="s">
        <v>115</v>
      </c>
      <c r="F12" s="6" t="str">
        <f t="shared" si="7"/>
        <v>=(gcaf*IF(g1f="month",1,gad)+MIN(IF(g1ab=0,value(J12),g1ab),value(J12))*(g1ae+g1ap)+MIN(IF(g1ab=0,0,MAX(value(J12)-g1ab,0)),MAX(value(J12)-g1ab,0))*(g2ae+g2ap))*(IF(g5x,gst,0)+1/(1-ggt))</v>
      </c>
      <c r="I12" s="8" t="s">
        <v>48</v>
      </c>
      <c r="J12" s="11">
        <v>235</v>
      </c>
      <c r="K12" s="1">
        <f>(gcaf*IF(g1f="month",1,gad)+MIN(IF(g1ab=0,VALUE(J12),g1ab),VALUE(J12))*(g1ae+g1ap)+MIN(IF(g1ab=0,0,MAX(VALUE(J12)-g1ab,0)),MAX(VALUE(J12)-g1ab,0))*(g2ae+g2ap))*(IF(g5x,gst,0)+1/(1-ggt))</f>
        <v>203.25652631578947</v>
      </c>
      <c r="M12" s="6" t="str">
        <f t="shared" si="8"/>
        <v>gcaf</v>
      </c>
      <c r="N12" s="6">
        <f t="shared" si="0"/>
        <v>19.5</v>
      </c>
      <c r="O12" s="6" t="str">
        <f t="shared" si="9"/>
        <v>g1ae</v>
      </c>
      <c r="P12" s="6">
        <f t="shared" si="1"/>
        <v>0.31290000000000001</v>
      </c>
      <c r="Q12" s="6" t="str">
        <f t="shared" si="10"/>
        <v>g1ap</v>
      </c>
      <c r="R12" s="6">
        <f t="shared" si="2"/>
        <v>0.56530999999999998</v>
      </c>
      <c r="S12" s="6" t="str">
        <f t="shared" si="11"/>
        <v>g1ab</v>
      </c>
      <c r="T12" s="6">
        <f t="shared" si="3"/>
        <v>30</v>
      </c>
      <c r="U12" s="6" t="str">
        <f t="shared" si="12"/>
        <v>g2ae</v>
      </c>
      <c r="V12" s="6">
        <f t="shared" si="4"/>
        <v>0.15296999999999999</v>
      </c>
      <c r="W12" s="6" t="str">
        <f t="shared" si="13"/>
        <v>g2ap</v>
      </c>
      <c r="X12" s="6">
        <f t="shared" si="5"/>
        <v>0.56530999999999998</v>
      </c>
    </row>
    <row r="13" spans="1:27" x14ac:dyDescent="0.25">
      <c r="A13" s="6" t="s">
        <v>73</v>
      </c>
      <c r="B13" s="10" t="b">
        <f>TRUE</f>
        <v>1</v>
      </c>
      <c r="C13" s="6" t="str">
        <f t="shared" si="6"/>
        <v>gbd</v>
      </c>
      <c r="D13" s="10">
        <v>30</v>
      </c>
      <c r="E13" s="8" t="s">
        <v>116</v>
      </c>
      <c r="F13" s="6" t="str">
        <f t="shared" si="7"/>
        <v>=(gcbf*IF(g1f="month",1,gbd)+MIN(IF(g1bb=0,value(J13),g1bb),value(J13))*(g1be+g1bp)+MIN(IF(g1bb=0,0,MAX(value(J13)-g1bb,0)),MAX(value(J13)-g1bb,0))*(g2be+g2bp))*(IF(g5x,gst,0)+1/(1-ggt))</v>
      </c>
      <c r="I13" s="8" t="s">
        <v>49</v>
      </c>
      <c r="J13" s="11">
        <v>550</v>
      </c>
      <c r="K13" s="1">
        <f>(gcbf*IF(g1f="month",1,gbd)+MIN(IF(g1bb=0,VALUE(J13),g1bb),VALUE(J13))*(g1be+g1bp)+MIN(IF(g1bb=0,0,MAX(VALUE(J13)-g1bb,0)),MAX(VALUE(J13)-g1bb,0))*(g2be+g2bp))*(IF(g5x,gst,0)+1/(1-ggt))</f>
        <v>394.03157894736842</v>
      </c>
      <c r="M13" s="6" t="str">
        <f t="shared" si="8"/>
        <v>gcbf</v>
      </c>
      <c r="N13" s="6">
        <f t="shared" si="0"/>
        <v>19.5</v>
      </c>
      <c r="O13" s="6" t="str">
        <f t="shared" si="9"/>
        <v>g1be</v>
      </c>
      <c r="P13" s="6">
        <f t="shared" si="1"/>
        <v>0.91686000000000001</v>
      </c>
      <c r="Q13" s="6" t="str">
        <f t="shared" si="10"/>
        <v>g1bp</v>
      </c>
      <c r="R13" s="6">
        <f t="shared" si="2"/>
        <v>0.36434</v>
      </c>
      <c r="S13" s="6" t="str">
        <f t="shared" si="11"/>
        <v>g1bb</v>
      </c>
      <c r="T13" s="6">
        <f t="shared" si="3"/>
        <v>30</v>
      </c>
      <c r="U13" s="6" t="str">
        <f t="shared" si="12"/>
        <v>g2be</v>
      </c>
      <c r="V13" s="6">
        <f t="shared" si="4"/>
        <v>0</v>
      </c>
      <c r="W13" s="6" t="str">
        <f t="shared" si="13"/>
        <v>g2bp</v>
      </c>
      <c r="X13" s="6">
        <f t="shared" si="5"/>
        <v>0.60845000000000005</v>
      </c>
    </row>
    <row r="14" spans="1:27" x14ac:dyDescent="0.25">
      <c r="A14" s="6" t="s">
        <v>74</v>
      </c>
      <c r="B14" s="10" t="b">
        <f>TRUE</f>
        <v>1</v>
      </c>
      <c r="C14" s="6" t="str">
        <f t="shared" si="6"/>
        <v>gcd</v>
      </c>
      <c r="D14" s="10">
        <v>31</v>
      </c>
      <c r="E14" s="8" t="s">
        <v>117</v>
      </c>
      <c r="F14" s="6" t="str">
        <f t="shared" si="7"/>
        <v>=(gccf*IF(g1f="month",1,gcd)+MIN(IF(g1cb=0,value(J14),g1cb),value(J14))*(g1ce+g1cp)+MIN(IF(g1cb=0,0,MAX(value(J14)-g1cb,0)),MAX(value(J14)-g1cb,0))*(g2ce+g2cp))*(IF(g5x,gst,0)+1/(1-ggt))</v>
      </c>
      <c r="I14" s="8" t="s">
        <v>50</v>
      </c>
      <c r="J14" s="11">
        <v>939</v>
      </c>
      <c r="K14" s="1">
        <f>(gccf*IF(g1f="month",1,gcd)+MIN(IF(g1cb=0,VALUE(J14),g1cb),VALUE(J14))*(g1ce+g1cp)+MIN(IF(g1cb=0,0,MAX(VALUE(J14)-g1cb,0)),MAX(VALUE(J14)-g1cb,0))*(g2ce+g2cp))*(IF(g5x,gst,0)+1/(1-ggt))</f>
        <v>643.1758421052632</v>
      </c>
      <c r="M14" s="6" t="str">
        <f t="shared" si="8"/>
        <v>gccf</v>
      </c>
      <c r="N14" s="6">
        <f t="shared" si="0"/>
        <v>19.5</v>
      </c>
      <c r="O14" s="6" t="str">
        <f t="shared" si="9"/>
        <v>g1ce</v>
      </c>
      <c r="P14" s="6">
        <f t="shared" si="1"/>
        <v>0.91686000000000001</v>
      </c>
      <c r="Q14" s="6" t="str">
        <f t="shared" si="10"/>
        <v>g1cp</v>
      </c>
      <c r="R14" s="6">
        <f t="shared" si="2"/>
        <v>0.36434</v>
      </c>
      <c r="S14" s="6" t="str">
        <f t="shared" si="11"/>
        <v>g1cb</v>
      </c>
      <c r="T14" s="6">
        <f t="shared" si="3"/>
        <v>30</v>
      </c>
      <c r="U14" s="6" t="str">
        <f t="shared" si="12"/>
        <v>g2ce</v>
      </c>
      <c r="V14" s="6">
        <f t="shared" si="4"/>
        <v>0</v>
      </c>
      <c r="W14" s="6" t="str">
        <f t="shared" si="13"/>
        <v>g2cp</v>
      </c>
      <c r="X14" s="6">
        <f t="shared" si="5"/>
        <v>0.60845000000000005</v>
      </c>
    </row>
    <row r="15" spans="1:27" x14ac:dyDescent="0.25">
      <c r="C15" s="6" t="s">
        <v>122</v>
      </c>
      <c r="D15" s="6">
        <f>SUM(D3:D14)</f>
        <v>365</v>
      </c>
      <c r="I15" s="6" t="s">
        <v>90</v>
      </c>
      <c r="J15" s="11">
        <f>SUM(J3:J14)</f>
        <v>4535</v>
      </c>
      <c r="K15" s="6">
        <f>SUM(K3:K14)</f>
        <v>3335.5354526315791</v>
      </c>
      <c r="M15" s="6" t="s">
        <v>143</v>
      </c>
      <c r="O15" s="6" t="s">
        <v>91</v>
      </c>
      <c r="Q15" s="6" t="s">
        <v>75</v>
      </c>
      <c r="S15" s="6" t="s">
        <v>73</v>
      </c>
      <c r="U15" s="6" t="s">
        <v>91</v>
      </c>
      <c r="W15" s="6" t="s">
        <v>75</v>
      </c>
    </row>
    <row r="16" spans="1:27" x14ac:dyDescent="0.25">
      <c r="J16" s="11"/>
      <c r="O16" s="6" t="s">
        <v>137</v>
      </c>
    </row>
    <row r="17" spans="1:26" x14ac:dyDescent="0.25">
      <c r="H17" s="8"/>
      <c r="O17" s="6" t="s">
        <v>150</v>
      </c>
    </row>
    <row r="18" spans="1:26" x14ac:dyDescent="0.25">
      <c r="B18" s="6" t="s">
        <v>89</v>
      </c>
      <c r="C18" s="10">
        <v>0.05</v>
      </c>
      <c r="D18" s="6" t="s">
        <v>87</v>
      </c>
      <c r="J18" s="6" t="s">
        <v>13</v>
      </c>
      <c r="K18" s="6" t="b">
        <v>1</v>
      </c>
      <c r="L18" s="6" t="s">
        <v>14</v>
      </c>
      <c r="O18" s="6" t="s">
        <v>151</v>
      </c>
      <c r="U18" s="8"/>
    </row>
    <row r="19" spans="1:26" x14ac:dyDescent="0.25">
      <c r="B19" s="6" t="s">
        <v>88</v>
      </c>
      <c r="C19" s="10">
        <v>0.08</v>
      </c>
      <c r="D19" s="6" t="s">
        <v>3</v>
      </c>
      <c r="J19" s="6" t="s">
        <v>16</v>
      </c>
      <c r="K19" s="6" t="b">
        <v>0</v>
      </c>
      <c r="L19" s="6" t="s">
        <v>17</v>
      </c>
      <c r="O19" s="6" t="s">
        <v>152</v>
      </c>
    </row>
    <row r="20" spans="1:26" x14ac:dyDescent="0.25">
      <c r="O20" s="6" t="s">
        <v>138</v>
      </c>
      <c r="R20" s="8"/>
      <c r="S20" s="8"/>
    </row>
    <row r="22" spans="1:26" x14ac:dyDescent="0.25">
      <c r="M22" s="9" t="s">
        <v>51</v>
      </c>
      <c r="N22" s="9" t="s">
        <v>51</v>
      </c>
      <c r="O22" s="9" t="s">
        <v>51</v>
      </c>
      <c r="P22" s="9" t="s">
        <v>51</v>
      </c>
      <c r="Q22" s="9" t="s">
        <v>51</v>
      </c>
      <c r="R22" s="9" t="s">
        <v>51</v>
      </c>
      <c r="S22" s="9" t="s">
        <v>51</v>
      </c>
      <c r="T22" s="9" t="s">
        <v>52</v>
      </c>
      <c r="U22" s="9" t="s">
        <v>52</v>
      </c>
      <c r="V22" s="9" t="s">
        <v>52</v>
      </c>
      <c r="W22" s="9" t="s">
        <v>52</v>
      </c>
      <c r="X22" s="9" t="s">
        <v>52</v>
      </c>
      <c r="Y22" s="9" t="s">
        <v>52</v>
      </c>
      <c r="Z22" s="9" t="s">
        <v>52</v>
      </c>
    </row>
    <row r="23" spans="1:26" ht="30" customHeight="1" x14ac:dyDescent="0.25">
      <c r="A23" s="6">
        <v>1</v>
      </c>
      <c r="B23" s="6" t="s">
        <v>18</v>
      </c>
      <c r="C23" s="12">
        <v>4</v>
      </c>
      <c r="D23" s="13" t="s">
        <v>1</v>
      </c>
      <c r="G23" s="14" t="s">
        <v>1</v>
      </c>
      <c r="H23" s="14" t="s">
        <v>0</v>
      </c>
      <c r="I23" s="14" t="s">
        <v>124</v>
      </c>
      <c r="J23" s="14" t="s">
        <v>2</v>
      </c>
      <c r="K23" s="14" t="s">
        <v>3</v>
      </c>
      <c r="L23" s="14" t="s">
        <v>6</v>
      </c>
      <c r="M23" s="14" t="s">
        <v>4</v>
      </c>
      <c r="N23" s="14" t="s">
        <v>5</v>
      </c>
      <c r="O23" s="14" t="s">
        <v>7</v>
      </c>
      <c r="P23" s="14" t="s">
        <v>8</v>
      </c>
      <c r="Q23" s="14" t="s">
        <v>9</v>
      </c>
      <c r="R23" s="14" t="s">
        <v>10</v>
      </c>
      <c r="S23" s="14" t="s">
        <v>11</v>
      </c>
      <c r="T23" s="14" t="s">
        <v>4</v>
      </c>
      <c r="U23" s="14" t="s">
        <v>5</v>
      </c>
      <c r="V23" s="14" t="s">
        <v>7</v>
      </c>
      <c r="W23" s="14" t="s">
        <v>8</v>
      </c>
      <c r="X23" s="14" t="s">
        <v>9</v>
      </c>
      <c r="Y23" s="14" t="s">
        <v>10</v>
      </c>
      <c r="Z23" s="14" t="s">
        <v>11</v>
      </c>
    </row>
    <row r="24" spans="1:26" x14ac:dyDescent="0.25">
      <c r="A24" s="6">
        <v>2</v>
      </c>
      <c r="B24" s="6" t="s">
        <v>19</v>
      </c>
      <c r="C24" s="6" t="str">
        <f t="shared" ref="C24:C25" si="14">VLOOKUP(g1x,GasArray,A24)</f>
        <v>Laclede Residential</v>
      </c>
      <c r="D24" s="6" t="s">
        <v>0</v>
      </c>
      <c r="G24" s="9">
        <v>1</v>
      </c>
      <c r="H24" s="10" t="s">
        <v>12</v>
      </c>
      <c r="I24" s="15">
        <v>40603</v>
      </c>
      <c r="J24" s="10" t="s">
        <v>13</v>
      </c>
      <c r="K24" s="10" t="b">
        <v>0</v>
      </c>
      <c r="L24" s="10" t="s">
        <v>14</v>
      </c>
      <c r="M24" s="16">
        <v>19.5</v>
      </c>
      <c r="N24" s="10"/>
      <c r="O24" s="17">
        <v>0.91686000000000001</v>
      </c>
      <c r="P24" s="17">
        <v>0.33492</v>
      </c>
      <c r="Q24" s="10">
        <v>30</v>
      </c>
      <c r="R24" s="17"/>
      <c r="S24" s="17">
        <v>0.57903000000000004</v>
      </c>
      <c r="T24" s="16">
        <v>19.5</v>
      </c>
      <c r="U24" s="10"/>
      <c r="V24" s="17">
        <v>0.31290000000000001</v>
      </c>
      <c r="W24" s="17">
        <v>0.53588999999999998</v>
      </c>
      <c r="X24" s="10">
        <v>30</v>
      </c>
      <c r="Y24" s="17">
        <v>0.15296999999999999</v>
      </c>
      <c r="Z24" s="17">
        <v>0.53588999999999998</v>
      </c>
    </row>
    <row r="25" spans="1:26" x14ac:dyDescent="0.25">
      <c r="A25" s="6">
        <v>3</v>
      </c>
      <c r="B25" s="6" t="s">
        <v>56</v>
      </c>
      <c r="C25" s="7">
        <f t="shared" si="14"/>
        <v>41702</v>
      </c>
      <c r="D25" s="6" t="s">
        <v>124</v>
      </c>
      <c r="G25" s="9">
        <v>2</v>
      </c>
      <c r="H25" s="10" t="s">
        <v>15</v>
      </c>
      <c r="I25" s="15">
        <v>41666</v>
      </c>
      <c r="J25" s="10" t="s">
        <v>16</v>
      </c>
      <c r="K25" s="10" t="b">
        <v>0</v>
      </c>
      <c r="L25" s="10" t="s">
        <v>14</v>
      </c>
      <c r="M25" s="16">
        <v>26.88</v>
      </c>
      <c r="N25" s="10"/>
      <c r="O25" s="17"/>
      <c r="P25" s="17">
        <v>0.55962000000000001</v>
      </c>
      <c r="Q25" s="10"/>
      <c r="R25" s="17"/>
      <c r="S25" s="17"/>
      <c r="T25" s="16">
        <v>26.88</v>
      </c>
      <c r="U25" s="10"/>
      <c r="V25" s="17"/>
      <c r="W25" s="17">
        <v>0.55962000000000001</v>
      </c>
      <c r="X25" s="10"/>
      <c r="Y25" s="10"/>
      <c r="Z25" s="10"/>
    </row>
    <row r="26" spans="1:26" x14ac:dyDescent="0.25">
      <c r="A26" s="6">
        <v>4</v>
      </c>
      <c r="B26" s="6" t="s">
        <v>20</v>
      </c>
      <c r="C26" s="6" t="str">
        <f t="shared" ref="C26:C42" si="15">VLOOKUP(g1x,GasArray,A26)</f>
        <v>Therm</v>
      </c>
      <c r="D26" s="6" t="s">
        <v>2</v>
      </c>
      <c r="G26" s="9">
        <v>3</v>
      </c>
      <c r="H26" s="10" t="s">
        <v>12</v>
      </c>
      <c r="I26" s="15">
        <v>41594</v>
      </c>
      <c r="J26" s="10" t="s">
        <v>13</v>
      </c>
      <c r="K26" s="10" t="b">
        <v>0</v>
      </c>
      <c r="L26" s="10" t="s">
        <v>14</v>
      </c>
      <c r="M26" s="16">
        <v>19.5</v>
      </c>
      <c r="N26" s="10"/>
      <c r="O26" s="17">
        <v>0.91686000000000001</v>
      </c>
      <c r="P26" s="17">
        <v>0.31725999999999999</v>
      </c>
      <c r="Q26" s="10">
        <v>30</v>
      </c>
      <c r="R26" s="17"/>
      <c r="S26" s="17">
        <v>0.56137000000000004</v>
      </c>
      <c r="T26" s="16">
        <v>19.5</v>
      </c>
      <c r="U26" s="10"/>
      <c r="V26" s="17">
        <v>0.31290000000000001</v>
      </c>
      <c r="W26" s="17">
        <v>0.51822999999999997</v>
      </c>
      <c r="X26" s="10">
        <v>30</v>
      </c>
      <c r="Y26" s="17">
        <v>0.15296999999999999</v>
      </c>
      <c r="Z26" s="17">
        <v>0.51822999999999997</v>
      </c>
    </row>
    <row r="27" spans="1:26" x14ac:dyDescent="0.25">
      <c r="A27" s="6">
        <v>5</v>
      </c>
      <c r="B27" s="6" t="s">
        <v>123</v>
      </c>
      <c r="C27" s="6" t="b">
        <f t="shared" si="15"/>
        <v>0</v>
      </c>
      <c r="D27" s="6" t="s">
        <v>3</v>
      </c>
      <c r="G27" s="9">
        <v>4</v>
      </c>
      <c r="H27" s="10" t="s">
        <v>12</v>
      </c>
      <c r="I27" s="15">
        <v>41702</v>
      </c>
      <c r="J27" s="10" t="s">
        <v>13</v>
      </c>
      <c r="K27" s="10" t="b">
        <v>0</v>
      </c>
      <c r="L27" s="10" t="s">
        <v>14</v>
      </c>
      <c r="M27" s="10">
        <v>19.5</v>
      </c>
      <c r="N27" s="10"/>
      <c r="O27" s="10">
        <v>0.91686000000000001</v>
      </c>
      <c r="P27" s="10">
        <v>0.36434</v>
      </c>
      <c r="Q27" s="10">
        <v>30</v>
      </c>
      <c r="R27" s="10"/>
      <c r="S27" s="10">
        <v>0.60845000000000005</v>
      </c>
      <c r="T27" s="10">
        <v>19.5</v>
      </c>
      <c r="U27" s="10"/>
      <c r="V27" s="10">
        <v>0.31290000000000001</v>
      </c>
      <c r="W27" s="10">
        <v>0.56530999999999998</v>
      </c>
      <c r="X27" s="10">
        <v>30</v>
      </c>
      <c r="Y27" s="10">
        <v>0.15296999999999999</v>
      </c>
      <c r="Z27" s="10">
        <v>0.56530999999999998</v>
      </c>
    </row>
    <row r="28" spans="1:26" x14ac:dyDescent="0.25">
      <c r="A28" s="6">
        <v>6</v>
      </c>
      <c r="B28" s="6" t="s">
        <v>21</v>
      </c>
      <c r="C28" s="6" t="str">
        <f t="shared" si="15"/>
        <v>Month</v>
      </c>
      <c r="D28" s="6" t="s">
        <v>6</v>
      </c>
      <c r="G28" s="9">
        <v>5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6">
        <v>7</v>
      </c>
      <c r="B29" s="6" t="s">
        <v>141</v>
      </c>
      <c r="C29" s="6">
        <f t="shared" si="15"/>
        <v>19.5</v>
      </c>
      <c r="D29" s="6" t="s">
        <v>4</v>
      </c>
      <c r="F29" s="6" t="s">
        <v>51</v>
      </c>
      <c r="G29" s="9">
        <v>6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6">
        <v>8</v>
      </c>
      <c r="B30" s="6" t="s">
        <v>142</v>
      </c>
      <c r="C30" s="6">
        <f t="shared" si="15"/>
        <v>0</v>
      </c>
      <c r="D30" s="6" t="s">
        <v>5</v>
      </c>
      <c r="F30" s="6" t="s">
        <v>51</v>
      </c>
      <c r="G30" s="9">
        <v>7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6">
        <v>9</v>
      </c>
      <c r="B31" s="6" t="s">
        <v>23</v>
      </c>
      <c r="C31" s="6">
        <f t="shared" si="15"/>
        <v>0.91686000000000001</v>
      </c>
      <c r="D31" s="6" t="s">
        <v>7</v>
      </c>
      <c r="F31" s="6" t="s">
        <v>51</v>
      </c>
      <c r="G31" s="9">
        <v>8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6">
        <v>10</v>
      </c>
      <c r="B32" s="6" t="s">
        <v>22</v>
      </c>
      <c r="C32" s="6">
        <f t="shared" si="15"/>
        <v>0.36434</v>
      </c>
      <c r="D32" s="6" t="s">
        <v>8</v>
      </c>
      <c r="F32" s="6" t="s">
        <v>51</v>
      </c>
      <c r="G32" s="9">
        <v>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6">
        <v>11</v>
      </c>
      <c r="B33" s="6" t="s">
        <v>24</v>
      </c>
      <c r="C33" s="6">
        <f t="shared" si="15"/>
        <v>30</v>
      </c>
      <c r="D33" s="6" t="s">
        <v>9</v>
      </c>
      <c r="F33" s="6" t="s">
        <v>51</v>
      </c>
      <c r="G33" s="9">
        <v>10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6">
        <v>12</v>
      </c>
      <c r="B34" s="6" t="s">
        <v>25</v>
      </c>
      <c r="C34" s="6">
        <f t="shared" si="15"/>
        <v>0</v>
      </c>
      <c r="D34" s="6" t="s">
        <v>10</v>
      </c>
      <c r="F34" s="6" t="s">
        <v>51</v>
      </c>
      <c r="G34" s="9">
        <v>11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6">
        <v>13</v>
      </c>
      <c r="B35" s="6" t="s">
        <v>26</v>
      </c>
      <c r="C35" s="6">
        <f t="shared" si="15"/>
        <v>0.60845000000000005</v>
      </c>
      <c r="D35" s="6" t="s">
        <v>11</v>
      </c>
      <c r="F35" s="6" t="s">
        <v>51</v>
      </c>
      <c r="G35" s="9">
        <v>12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5">
      <c r="A36" s="6">
        <v>14</v>
      </c>
      <c r="B36" s="6" t="s">
        <v>139</v>
      </c>
      <c r="C36" s="6">
        <f t="shared" ref="C36:C37" si="16">VLOOKUP(g1x,GasArray,A36)</f>
        <v>19.5</v>
      </c>
      <c r="D36" s="6" t="s">
        <v>4</v>
      </c>
      <c r="F36" s="6" t="s">
        <v>52</v>
      </c>
      <c r="G36" s="9">
        <v>13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6">
        <v>15</v>
      </c>
      <c r="B37" s="6" t="s">
        <v>140</v>
      </c>
      <c r="C37" s="6">
        <f t="shared" si="16"/>
        <v>0</v>
      </c>
      <c r="D37" s="6" t="s">
        <v>5</v>
      </c>
      <c r="F37" s="6" t="s">
        <v>52</v>
      </c>
      <c r="G37" s="9">
        <v>14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6">
        <v>16</v>
      </c>
      <c r="B38" s="6" t="s">
        <v>27</v>
      </c>
      <c r="C38" s="6">
        <f t="shared" si="15"/>
        <v>0.31290000000000001</v>
      </c>
      <c r="D38" s="6" t="s">
        <v>7</v>
      </c>
      <c r="F38" s="6" t="s">
        <v>52</v>
      </c>
      <c r="G38" s="9">
        <v>15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6">
        <v>17</v>
      </c>
      <c r="B39" s="6" t="s">
        <v>28</v>
      </c>
      <c r="C39" s="6">
        <f t="shared" si="15"/>
        <v>0.56530999999999998</v>
      </c>
      <c r="D39" s="6" t="s">
        <v>8</v>
      </c>
      <c r="F39" s="6" t="s">
        <v>52</v>
      </c>
      <c r="G39" s="9">
        <v>16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6">
        <v>18</v>
      </c>
      <c r="B40" s="6" t="s">
        <v>29</v>
      </c>
      <c r="C40" s="6">
        <f t="shared" si="15"/>
        <v>30</v>
      </c>
      <c r="D40" s="6" t="s">
        <v>9</v>
      </c>
      <c r="F40" s="6" t="s">
        <v>52</v>
      </c>
      <c r="G40" s="9">
        <v>17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6">
        <v>19</v>
      </c>
      <c r="B41" s="6" t="s">
        <v>30</v>
      </c>
      <c r="C41" s="6">
        <f t="shared" si="15"/>
        <v>0.15296999999999999</v>
      </c>
      <c r="D41" s="6" t="s">
        <v>10</v>
      </c>
      <c r="F41" s="6" t="s">
        <v>52</v>
      </c>
      <c r="G41" s="9">
        <v>18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6">
        <v>20</v>
      </c>
      <c r="B42" s="6" t="s">
        <v>31</v>
      </c>
      <c r="C42" s="6">
        <f t="shared" si="15"/>
        <v>0.56530999999999998</v>
      </c>
      <c r="D42" s="6" t="s">
        <v>11</v>
      </c>
      <c r="F42" s="6" t="s">
        <v>52</v>
      </c>
      <c r="G42" s="9">
        <v>19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G43" s="9">
        <v>20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C44" s="8"/>
      <c r="G44" s="9">
        <v>21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C45" s="8"/>
      <c r="G45" s="9">
        <v>22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C46" s="8"/>
      <c r="G46" s="9">
        <v>23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C47" s="8"/>
      <c r="G47" s="9">
        <v>24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C48" s="8"/>
      <c r="G48" s="9">
        <v>25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3" x14ac:dyDescent="0.25">
      <c r="C49" s="8"/>
    </row>
    <row r="51" spans="2:3" x14ac:dyDescent="0.25">
      <c r="B51" s="6" t="str">
        <f t="shared" ref="B51:B62" si="17">F3</f>
        <v>=(gc1f*IF(g1f="month",1,g1d)+MIN(IF(g11b=0,value(J3),g11b),value(J3))*(g11e+g11p)+MIN(IF(g11b=0,0,MAX(value(J3)-g11b,0)),MAX(value(J3)-g11b,0))*(g21e+g21p))*(IF(g5x,gst,0)+1/(1-ggt))</v>
      </c>
    </row>
    <row r="52" spans="2:3" x14ac:dyDescent="0.25">
      <c r="B52" s="6" t="str">
        <f t="shared" si="17"/>
        <v>=(gc2f*IF(g1f="month",1,g2d)+MIN(IF(g12b=0,value(J4),g12b),value(J4))*(g12e+g12p)+MIN(IF(g12b=0,0,MAX(value(J4)-g12b,0)),MAX(value(J4)-g12b,0))*(g22e+g22p))*(IF(g5x,gst,0)+1/(1-ggt))</v>
      </c>
    </row>
    <row r="53" spans="2:3" x14ac:dyDescent="0.25">
      <c r="B53" s="6" t="str">
        <f t="shared" si="17"/>
        <v>=(gc3f*IF(g1f="month",1,g3d)+MIN(IF(g13b=0,value(J5),g13b),value(J5))*(g13e+g13p)+MIN(IF(g13b=0,0,MAX(value(J5)-g13b,0)),MAX(value(J5)-g13b,0))*(g23e+g23p))*(IF(g5x,gst,0)+1/(1-ggt))</v>
      </c>
    </row>
    <row r="54" spans="2:3" x14ac:dyDescent="0.25">
      <c r="B54" s="6" t="str">
        <f t="shared" si="17"/>
        <v>=(gc4f*IF(g1f="month",1,g4d)+MIN(IF(g14b=0,value(J6),g14b),value(J6))*(g14e+g14p)+MIN(IF(g14b=0,0,MAX(value(J6)-g14b,0)),MAX(value(J6)-g14b,0))*(g24e+g24p))*(IF(g5x,gst,0)+1/(1-ggt))</v>
      </c>
    </row>
    <row r="55" spans="2:3" x14ac:dyDescent="0.25">
      <c r="B55" s="6" t="str">
        <f t="shared" si="17"/>
        <v>=(gc5f*IF(g1f="month",1,g5d)+MIN(IF(g15b=0,value(J7),g15b),value(J7))*(g15e+g15p)+MIN(IF(g15b=0,0,MAX(value(J7)-g15b,0)),MAX(value(J7)-g15b,0))*(g25e+g25p))*(IF(g5x,gst,0)+1/(1-ggt))</v>
      </c>
    </row>
    <row r="56" spans="2:3" x14ac:dyDescent="0.25">
      <c r="B56" s="6" t="str">
        <f t="shared" si="17"/>
        <v>=(gc6f*IF(g1f="month",1,g6d)+MIN(IF(g16b=0,value(J8),g16b),value(J8))*(g16e+g16p)+MIN(IF(g16b=0,0,MAX(value(J8)-g16b,0)),MAX(value(J8)-g16b,0))*(g26e+g26p))*(IF(g5x,gst,0)+1/(1-ggt))</v>
      </c>
    </row>
    <row r="57" spans="2:3" x14ac:dyDescent="0.25">
      <c r="B57" s="6" t="str">
        <f t="shared" si="17"/>
        <v>=(gc7f*IF(g1f="month",1,g7d)+MIN(IF(g17b=0,value(J9),g17b),value(J9))*(g17e+g17p)+MIN(IF(g17b=0,0,MAX(value(J9)-g17b,0)),MAX(value(J9)-g17b,0))*(g27e+g27p))*(IF(g5x,gst,0)+1/(1-ggt))</v>
      </c>
    </row>
    <row r="58" spans="2:3" x14ac:dyDescent="0.25">
      <c r="B58" s="6" t="str">
        <f t="shared" si="17"/>
        <v>=(gc8f*IF(g1f="month",1,g8d)+MIN(IF(g18b=0,value(J10),g18b),value(J10))*(g18e+g18p)+MIN(IF(g18b=0,0,MAX(value(J10)-g18b,0)),MAX(value(J10)-g18b,0))*(g28e+g28p))*(IF(g5x,gst,0)+1/(1-ggt))</v>
      </c>
    </row>
    <row r="59" spans="2:3" x14ac:dyDescent="0.25">
      <c r="B59" s="6" t="str">
        <f t="shared" si="17"/>
        <v>=(gc9f*IF(g1f="month",1,g9d)+MIN(IF(g19b=0,value(J11),g19b),value(J11))*(g19e+g19p)+MIN(IF(g19b=0,0,MAX(value(J11)-g19b,0)),MAX(value(J11)-g19b,0))*(g29e+g29p))*(IF(g5x,gst,0)+1/(1-ggt))</v>
      </c>
    </row>
    <row r="60" spans="2:3" x14ac:dyDescent="0.25">
      <c r="B60" s="6" t="str">
        <f t="shared" si="17"/>
        <v>=(gcaf*IF(g1f="month",1,gad)+MIN(IF(g1ab=0,value(J12),g1ab),value(J12))*(g1ae+g1ap)+MIN(IF(g1ab=0,0,MAX(value(J12)-g1ab,0)),MAX(value(J12)-g1ab,0))*(g2ae+g2ap))*(IF(g5x,gst,0)+1/(1-ggt))</v>
      </c>
    </row>
    <row r="61" spans="2:3" x14ac:dyDescent="0.25">
      <c r="B61" s="6" t="str">
        <f t="shared" si="17"/>
        <v>=(gcbf*IF(g1f="month",1,gbd)+MIN(IF(g1bb=0,value(J13),g1bb),value(J13))*(g1be+g1bp)+MIN(IF(g1bb=0,0,MAX(value(J13)-g1bb,0)),MAX(value(J13)-g1bb,0))*(g2be+g2bp))*(IF(g5x,gst,0)+1/(1-ggt))</v>
      </c>
    </row>
    <row r="62" spans="2:3" x14ac:dyDescent="0.25">
      <c r="B62" s="6" t="str">
        <f t="shared" si="17"/>
        <v>=(gccf*IF(g1f="month",1,gcd)+MIN(IF(g1cb=0,value(J14),g1cb),value(J14))*(g1ce+g1cp)+MIN(IF(g1cb=0,0,MAX(value(J14)-g1cb,0)),MAX(value(J14)-g1cb,0))*(g2ce+g2cp))*(IF(g5x,gst,0)+1/(1-ggt))</v>
      </c>
    </row>
  </sheetData>
  <sheetProtection sheet="1" objects="1" scenarios="1"/>
  <dataValidations count="3">
    <dataValidation type="list" allowBlank="1" showInputMessage="1" showErrorMessage="1" sqref="B3:B14">
      <formula1>"TRUE,FALSE"</formula1>
    </dataValidation>
    <dataValidation type="list" allowBlank="1" showInputMessage="1" showErrorMessage="1" sqref="K24:K48">
      <formula1>$K$18:$K$19</formula1>
    </dataValidation>
    <dataValidation type="list" allowBlank="1" showInputMessage="1" showErrorMessage="1" sqref="L24:L48">
      <formula1>$L$18:$L$19</formula1>
    </dataValidation>
  </dataValidations>
  <pageMargins left="0.7" right="0.7" top="0.75" bottom="0.75" header="0.3" footer="0.3"/>
  <pageSetup orientation="portrait" r:id="rId1"/>
  <ignoredErrors>
    <ignoredError sqref="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zoomScale="60" zoomScaleNormal="60" workbookViewId="0">
      <selection activeCell="C23" sqref="C23"/>
    </sheetView>
  </sheetViews>
  <sheetFormatPr defaultRowHeight="15" x14ac:dyDescent="0.25"/>
  <cols>
    <col min="1" max="2" width="9.140625" style="6"/>
    <col min="3" max="3" width="10.7109375" style="6" customWidth="1"/>
    <col min="4" max="4" width="9.140625" style="6" customWidth="1"/>
    <col min="5" max="5" width="10.7109375" style="6" customWidth="1"/>
    <col min="6" max="7" width="9.140625" style="6"/>
    <col min="8" max="8" width="25.7109375" style="6" customWidth="1"/>
    <col min="9" max="26" width="10.7109375" style="6" customWidth="1"/>
    <col min="27" max="16384" width="9.140625" style="6"/>
  </cols>
  <sheetData>
    <row r="1" spans="1:26" x14ac:dyDescent="0.25">
      <c r="A1" s="1" t="str">
        <f>e2x</f>
        <v>Ameren MO Residential</v>
      </c>
      <c r="E1" s="5">
        <f>e3x</f>
        <v>41666</v>
      </c>
      <c r="M1" s="6" t="s">
        <v>74</v>
      </c>
      <c r="O1" s="8" t="s">
        <v>77</v>
      </c>
      <c r="Q1" s="8" t="s">
        <v>77</v>
      </c>
      <c r="S1" s="8" t="s">
        <v>78</v>
      </c>
      <c r="U1" s="8" t="s">
        <v>78</v>
      </c>
      <c r="W1" s="8" t="s">
        <v>79</v>
      </c>
      <c r="Y1" s="6" t="s">
        <v>91</v>
      </c>
    </row>
    <row r="2" spans="1:26" x14ac:dyDescent="0.25">
      <c r="A2" s="6" t="s">
        <v>91</v>
      </c>
      <c r="B2" s="6" t="s">
        <v>76</v>
      </c>
      <c r="D2" s="6" t="s">
        <v>38</v>
      </c>
      <c r="E2" s="8" t="s">
        <v>144</v>
      </c>
      <c r="F2" s="8" t="str">
        <f>"*IF(e1f="&amp;CHAR(34)&amp;"month"&amp;CHAR(34)&amp;",1,"</f>
        <v>*IF(e1f="month",1,</v>
      </c>
      <c r="I2" s="8" t="s">
        <v>14</v>
      </c>
      <c r="J2" s="9" t="str">
        <f>e4x</f>
        <v>kWh</v>
      </c>
      <c r="K2" s="6" t="s">
        <v>86</v>
      </c>
      <c r="L2" s="6" t="s">
        <v>154</v>
      </c>
      <c r="M2" s="8" t="s">
        <v>118</v>
      </c>
      <c r="N2" s="8" t="s">
        <v>119</v>
      </c>
      <c r="O2" s="8" t="s">
        <v>155</v>
      </c>
      <c r="P2" s="8" t="s">
        <v>156</v>
      </c>
      <c r="Q2" s="8" t="s">
        <v>157</v>
      </c>
      <c r="R2" s="8" t="s">
        <v>158</v>
      </c>
      <c r="S2" s="8" t="s">
        <v>159</v>
      </c>
      <c r="T2" s="8"/>
      <c r="U2" s="8" t="s">
        <v>121</v>
      </c>
      <c r="V2" s="8" t="s">
        <v>160</v>
      </c>
      <c r="W2" s="8" t="s">
        <v>120</v>
      </c>
      <c r="X2" s="6" t="s">
        <v>126</v>
      </c>
      <c r="Y2" s="8"/>
    </row>
    <row r="3" spans="1:26" x14ac:dyDescent="0.25">
      <c r="A3" s="8" t="s">
        <v>77</v>
      </c>
      <c r="B3" s="10" t="b">
        <v>1</v>
      </c>
      <c r="C3" s="6" t="s">
        <v>92</v>
      </c>
      <c r="D3" s="10">
        <v>31</v>
      </c>
      <c r="E3" s="8" t="s">
        <v>106</v>
      </c>
      <c r="F3" s="6" t="str">
        <f>$E$2&amp;M3&amp;$F$2&amp;C3&amp;$L$2&amp;Q3&amp;$M$2&amp;E3&amp;$O$2&amp;Q3&amp;$Q$2&amp;E3&amp;$N$2&amp;E3&amp;$N$2&amp;Q3&amp;$V$2&amp;O3&amp;$W$2&amp;Y3&amp;$L$2&amp;Q3&amp;$M$2&amp;$P$2&amp;Q3&amp;$Q$2&amp;E3&amp;$N$2&amp;$P$2&amp;U3&amp;$M$2&amp;E3&amp;$U$2&amp;Q3&amp;$O$2&amp;U3&amp;$Q$2&amp;E3&amp;$N$2&amp;E3&amp;$U$2&amp;Q3&amp;$N$2&amp;U3&amp;$U$2&amp;Q3&amp;$S$2&amp;$V$2&amp;S3&amp;$W$2&amp;Y3&amp;$L$2&amp;U3&amp;$M$2&amp;$P$2&amp;U3&amp;$Q$2&amp;E3&amp;$R$2&amp;$N$2&amp;E3&amp;$U$2&amp;U3&amp;$V$2&amp;W3&amp;$W$2&amp;Y3&amp;$X$2</f>
        <v>=(ec1f*IF(e1f="month",1,e1d)+IF(e11b=0,value(J3),IF(e11b&gt;value(J3),value(J3),e11b))*(e11e+ee1e)+IF(e11b=0,0,IF(e11b&gt;value(J3),0,IF(e21b=0,value(J3)-e11b,IF(e21b&gt;value(J3),value(J3)-e11b,e21b-e11b))))*(e21e+ee1e)+IF(e21b=0,0,IF(e21b&gt;value(J3),0,value(J3)-e21b))*(e31e+ee1e))*(IF(e5x,est,0)+1/(1-egt))</v>
      </c>
      <c r="I3" s="8" t="s">
        <v>39</v>
      </c>
      <c r="J3" s="20">
        <v>0</v>
      </c>
      <c r="K3" s="1">
        <f>(ec1f*IF(e1f="month",1,e1d)+IF(e11b=0,VALUE(J3),IF(e11b&gt;VALUE(J3),VALUE(J3),e11b))*(e11e+ee1e)+IF(e11b=0,0,IF(e11b&gt;VALUE(J3),0,IF(e21b=0,VALUE(J3)-e11b,IF(e21b&gt;VALUE(J3),VALUE(J3)-e11b,e21b-e11b))))*(e21e+ee1e)+IF(e21b=0,0,IF(e21b&gt;VALUE(J3),0,VALUE(J3)-e21b))*(e31e+ee1e))*(IF(e5x,est,0)+1/(1-egt))</f>
        <v>8.4526315789473667</v>
      </c>
      <c r="M3" s="6" t="str">
        <f>$A$2&amp;M$1&amp;$A3&amp;M$15</f>
        <v>ec1f</v>
      </c>
      <c r="N3" s="6">
        <f t="shared" ref="N3:N14" si="0">IF($B3,e2wf+e3wf,e2sf+e3sf)</f>
        <v>8.0299999999999994</v>
      </c>
      <c r="O3" s="6" t="str">
        <f t="shared" ref="O3:O14" si="1">$A$2&amp;O$1&amp;$A3&amp;O$15</f>
        <v>e11e</v>
      </c>
      <c r="P3" s="6">
        <f t="shared" ref="P3:P14" si="2">IF($B3,e1we,e1se)</f>
        <v>8.0799999999999997E-2</v>
      </c>
      <c r="Q3" s="6" t="str">
        <f t="shared" ref="Q3:Q14" si="3">$A$2&amp;Q$1&amp;$A3&amp;Q$15</f>
        <v>e11b</v>
      </c>
      <c r="R3" s="6">
        <f t="shared" ref="R3:R14" si="4">IF($B3,e1wb,e1sb)</f>
        <v>750</v>
      </c>
      <c r="S3" s="6" t="str">
        <f t="shared" ref="S3:S14" si="5">$A$2&amp;S$1&amp;$A3&amp;S$15</f>
        <v>e21e</v>
      </c>
      <c r="T3" s="6">
        <f t="shared" ref="T3:T14" si="6">IF($B3,e2we,e2se)</f>
        <v>5.3800000000000001E-2</v>
      </c>
      <c r="U3" s="6" t="str">
        <f t="shared" ref="U3:U14" si="7">$A$2&amp;U$1&amp;$A3&amp;U$15</f>
        <v>e21b</v>
      </c>
      <c r="V3" s="6">
        <f t="shared" ref="V3:V14" si="8">IF($B3,e2wb,e2sb)</f>
        <v>0</v>
      </c>
      <c r="W3" s="6" t="str">
        <f t="shared" ref="W3:W14" si="9">$A$2&amp;W$1&amp;$A3&amp;W$15</f>
        <v>e31e</v>
      </c>
      <c r="X3" s="6">
        <f t="shared" ref="X3:X14" si="10">IF($B3,e3we,e3se)</f>
        <v>0</v>
      </c>
      <c r="Y3" s="6" t="str">
        <f t="shared" ref="Y3:Y14" si="11">$A$2&amp;Y$1&amp;$A3&amp;Y$15</f>
        <v>ee1e</v>
      </c>
      <c r="Z3" s="6">
        <f t="shared" ref="Z3:Z14" si="12">IF($B3,eewe,eese)</f>
        <v>4.5999999999999999E-3</v>
      </c>
    </row>
    <row r="4" spans="1:26" x14ac:dyDescent="0.25">
      <c r="A4" s="8" t="s">
        <v>78</v>
      </c>
      <c r="B4" s="10" t="b">
        <f>TRUE</f>
        <v>1</v>
      </c>
      <c r="C4" s="6" t="s">
        <v>93</v>
      </c>
      <c r="D4" s="10">
        <v>28</v>
      </c>
      <c r="E4" s="8" t="s">
        <v>107</v>
      </c>
      <c r="F4" s="6" t="str">
        <f t="shared" ref="F4:F14" si="13">$E$2&amp;M4&amp;$F$2&amp;C4&amp;$L$2&amp;Q4&amp;$M$2&amp;E4&amp;$O$2&amp;Q4&amp;$Q$2&amp;E4&amp;$N$2&amp;E4&amp;$N$2&amp;Q4&amp;$V$2&amp;O4&amp;$W$2&amp;Y4&amp;$L$2&amp;Q4&amp;$M$2&amp;$P$2&amp;Q4&amp;$Q$2&amp;E4&amp;$N$2&amp;$P$2&amp;U4&amp;$M$2&amp;E4&amp;$U$2&amp;Q4&amp;$O$2&amp;U4&amp;$Q$2&amp;E4&amp;$N$2&amp;E4&amp;$U$2&amp;Q4&amp;$N$2&amp;U4&amp;$U$2&amp;Q4&amp;$S$2&amp;$V$2&amp;S4&amp;$W$2&amp;Y4&amp;$L$2&amp;U4&amp;$M$2&amp;$P$2&amp;U4&amp;$Q$2&amp;E4&amp;$R$2&amp;$N$2&amp;E4&amp;$U$2&amp;U4&amp;$V$2&amp;W4&amp;$W$2&amp;Y4&amp;$X$2</f>
        <v>=(ec2f*IF(e1f="month",1,e2d)+IF(e12b=0,value(J4),IF(e12b&gt;value(J4),value(J4),e12b))*(e12e+ee2e)+IF(e12b=0,0,IF(e12b&gt;value(J4),0,IF(e22b=0,value(J4)-e12b,IF(e22b&gt;value(J4),value(J4)-e12b,e22b-e12b))))*(e22e+ee2e)+IF(e22b=0,0,IF(e22b&gt;value(J4),0,value(J4)-e22b))*(e32e+ee2e))*(IF(e5x,est,0)+1/(1-egt))</v>
      </c>
      <c r="I4" s="8" t="s">
        <v>40</v>
      </c>
      <c r="J4" s="20">
        <v>0</v>
      </c>
      <c r="K4" s="1">
        <f>(ec2f*IF(e1f="month",1,e2d)+IF(e12b=0,VALUE(J4),IF(e12b&gt;VALUE(J4),VALUE(J4),e12b))*(e12e+ee2e)+IF(e12b=0,0,IF(e12b&gt;VALUE(J4),0,IF(e22b=0,VALUE(J4)-e12b,IF(e22b&gt;VALUE(J4),VALUE(J4)-e12b,e22b-e12b))))*(e22e+ee2e)+IF(e22b=0,0,IF(e22b&gt;VALUE(J4),0,VALUE(J4)-e22b))*(e32e+ee2e))*(IF(e5x,est,0)+1/(1-egt))</f>
        <v>8.4526315789473667</v>
      </c>
      <c r="M4" s="6" t="str">
        <f t="shared" ref="M4:M14" si="14">$A$2&amp;M$1&amp;$A4&amp;M$15</f>
        <v>ec2f</v>
      </c>
      <c r="N4" s="6">
        <f t="shared" si="0"/>
        <v>8.0299999999999994</v>
      </c>
      <c r="O4" s="6" t="str">
        <f t="shared" si="1"/>
        <v>e12e</v>
      </c>
      <c r="P4" s="6">
        <f t="shared" si="2"/>
        <v>8.0799999999999997E-2</v>
      </c>
      <c r="Q4" s="6" t="str">
        <f t="shared" si="3"/>
        <v>e12b</v>
      </c>
      <c r="R4" s="6">
        <f t="shared" si="4"/>
        <v>750</v>
      </c>
      <c r="S4" s="6" t="str">
        <f t="shared" si="5"/>
        <v>e22e</v>
      </c>
      <c r="T4" s="6">
        <f t="shared" si="6"/>
        <v>5.3800000000000001E-2</v>
      </c>
      <c r="U4" s="6" t="str">
        <f t="shared" si="7"/>
        <v>e22b</v>
      </c>
      <c r="V4" s="6">
        <f t="shared" si="8"/>
        <v>0</v>
      </c>
      <c r="W4" s="6" t="str">
        <f t="shared" si="9"/>
        <v>e32e</v>
      </c>
      <c r="X4" s="6">
        <f t="shared" si="10"/>
        <v>0</v>
      </c>
      <c r="Y4" s="6" t="str">
        <f t="shared" si="11"/>
        <v>ee2e</v>
      </c>
      <c r="Z4" s="6">
        <f t="shared" si="12"/>
        <v>4.5999999999999999E-3</v>
      </c>
    </row>
    <row r="5" spans="1:26" x14ac:dyDescent="0.25">
      <c r="A5" s="8" t="s">
        <v>79</v>
      </c>
      <c r="B5" s="10" t="b">
        <v>1</v>
      </c>
      <c r="C5" s="6" t="s">
        <v>94</v>
      </c>
      <c r="D5" s="10">
        <v>31</v>
      </c>
      <c r="E5" s="8" t="s">
        <v>108</v>
      </c>
      <c r="F5" s="6" t="str">
        <f t="shared" si="13"/>
        <v>=(ec3f*IF(e1f="month",1,e3d)+IF(e13b=0,value(J5),IF(e13b&gt;value(J5),value(J5),e13b))*(e13e+ee3e)+IF(e13b=0,0,IF(e13b&gt;value(J5),0,IF(e23b=0,value(J5)-e13b,IF(e23b&gt;value(J5),value(J5)-e13b,e23b-e13b))))*(e23e+ee3e)+IF(e23b=0,0,IF(e23b&gt;value(J5),0,value(J5)-e23b))*(e33e+ee3e))*(IF(e5x,est,0)+1/(1-egt))</v>
      </c>
      <c r="I5" s="8" t="s">
        <v>41</v>
      </c>
      <c r="J5" s="20">
        <v>7</v>
      </c>
      <c r="K5" s="1">
        <f>(ec3f*IF(e1f="month",1,e3d)+IF(e13b=0,VALUE(J5),IF(e13b&gt;VALUE(J5),VALUE(J5),e13b))*(e13e+ee3e)+IF(e13b=0,0,IF(e13b&gt;VALUE(J5),0,IF(e23b=0,VALUE(J5)-e13b,IF(e23b&gt;VALUE(J5),VALUE(J5)-e13b,e23b-e13b))))*(e23e+ee3e)+IF(e23b=0,0,IF(e23b&gt;VALUE(J5),0,VALUE(J5)-e23b))*(e33e+ee3e))*(IF(e5x,est,0)+1/(1-egt))</f>
        <v>9.0818947368421039</v>
      </c>
      <c r="M5" s="6" t="str">
        <f t="shared" si="14"/>
        <v>ec3f</v>
      </c>
      <c r="N5" s="6">
        <f t="shared" si="0"/>
        <v>8.0299999999999994</v>
      </c>
      <c r="O5" s="6" t="str">
        <f t="shared" si="1"/>
        <v>e13e</v>
      </c>
      <c r="P5" s="6">
        <f t="shared" si="2"/>
        <v>8.0799999999999997E-2</v>
      </c>
      <c r="Q5" s="6" t="str">
        <f t="shared" si="3"/>
        <v>e13b</v>
      </c>
      <c r="R5" s="6">
        <f t="shared" si="4"/>
        <v>750</v>
      </c>
      <c r="S5" s="6" t="str">
        <f t="shared" si="5"/>
        <v>e23e</v>
      </c>
      <c r="T5" s="6">
        <f t="shared" si="6"/>
        <v>5.3800000000000001E-2</v>
      </c>
      <c r="U5" s="6" t="str">
        <f t="shared" si="7"/>
        <v>e23b</v>
      </c>
      <c r="V5" s="6">
        <f t="shared" si="8"/>
        <v>0</v>
      </c>
      <c r="W5" s="6" t="str">
        <f t="shared" si="9"/>
        <v>e33e</v>
      </c>
      <c r="X5" s="6">
        <f t="shared" si="10"/>
        <v>0</v>
      </c>
      <c r="Y5" s="6" t="str">
        <f t="shared" si="11"/>
        <v>ee3e</v>
      </c>
      <c r="Z5" s="6">
        <f t="shared" si="12"/>
        <v>4.5999999999999999E-3</v>
      </c>
    </row>
    <row r="6" spans="1:26" x14ac:dyDescent="0.25">
      <c r="A6" s="8" t="s">
        <v>80</v>
      </c>
      <c r="B6" s="10" t="b">
        <f>TRUE</f>
        <v>1</v>
      </c>
      <c r="C6" s="6" t="s">
        <v>95</v>
      </c>
      <c r="D6" s="10">
        <v>30</v>
      </c>
      <c r="E6" s="8" t="s">
        <v>109</v>
      </c>
      <c r="F6" s="6" t="str">
        <f t="shared" si="13"/>
        <v>=(ec4f*IF(e1f="month",1,e4d)+IF(e14b=0,value(J6),IF(e14b&gt;value(J6),value(J6),e14b))*(e14e+ee4e)+IF(e14b=0,0,IF(e14b&gt;value(J6),0,IF(e24b=0,value(J6)-e14b,IF(e24b&gt;value(J6),value(J6)-e14b,e24b-e14b))))*(e24e+ee4e)+IF(e24b=0,0,IF(e24b&gt;value(J6),0,value(J6)-e24b))*(e34e+ee4e))*(IF(e5x,est,0)+1/(1-egt))</v>
      </c>
      <c r="I6" s="8" t="s">
        <v>42</v>
      </c>
      <c r="J6" s="20">
        <v>39</v>
      </c>
      <c r="K6" s="1">
        <f>(ec4f*IF(e1f="month",1,e4d)+IF(e14b=0,VALUE(J6),IF(e14b&gt;VALUE(J6),VALUE(J6),e14b))*(e14e+ee4e)+IF(e14b=0,0,IF(e14b&gt;VALUE(J6),0,IF(e24b=0,VALUE(J6)-e14b,IF(e24b&gt;VALUE(J6),VALUE(J6)-e14b,e24b-e14b))))*(e24e+ee4e)+IF(e24b=0,0,IF(e24b&gt;VALUE(J6),0,VALUE(J6)-e24b))*(e34e+ee4e))*(IF(e5x,est,0)+1/(1-egt))</f>
        <v>11.958526315789474</v>
      </c>
      <c r="M6" s="6" t="str">
        <f t="shared" si="14"/>
        <v>ec4f</v>
      </c>
      <c r="N6" s="6">
        <f t="shared" si="0"/>
        <v>8.0299999999999994</v>
      </c>
      <c r="O6" s="6" t="str">
        <f t="shared" si="1"/>
        <v>e14e</v>
      </c>
      <c r="P6" s="6">
        <f t="shared" si="2"/>
        <v>8.0799999999999997E-2</v>
      </c>
      <c r="Q6" s="6" t="str">
        <f t="shared" si="3"/>
        <v>e14b</v>
      </c>
      <c r="R6" s="6">
        <f t="shared" si="4"/>
        <v>750</v>
      </c>
      <c r="S6" s="6" t="str">
        <f t="shared" si="5"/>
        <v>e24e</v>
      </c>
      <c r="T6" s="6">
        <f t="shared" si="6"/>
        <v>5.3800000000000001E-2</v>
      </c>
      <c r="U6" s="6" t="str">
        <f t="shared" si="7"/>
        <v>e24b</v>
      </c>
      <c r="V6" s="6">
        <f t="shared" si="8"/>
        <v>0</v>
      </c>
      <c r="W6" s="6" t="str">
        <f t="shared" si="9"/>
        <v>e34e</v>
      </c>
      <c r="X6" s="6">
        <f t="shared" si="10"/>
        <v>0</v>
      </c>
      <c r="Y6" s="6" t="str">
        <f t="shared" si="11"/>
        <v>ee4e</v>
      </c>
      <c r="Z6" s="6">
        <f t="shared" si="12"/>
        <v>4.5999999999999999E-3</v>
      </c>
    </row>
    <row r="7" spans="1:26" x14ac:dyDescent="0.25">
      <c r="A7" s="8" t="s">
        <v>81</v>
      </c>
      <c r="B7" s="10" t="b">
        <v>0</v>
      </c>
      <c r="C7" s="6" t="s">
        <v>96</v>
      </c>
      <c r="D7" s="10">
        <v>31</v>
      </c>
      <c r="E7" s="8" t="s">
        <v>110</v>
      </c>
      <c r="F7" s="6" t="str">
        <f t="shared" si="13"/>
        <v>=(ec5f*IF(e1f="month",1,e5d)+IF(e15b=0,value(J7),IF(e15b&gt;value(J7),value(J7),e15b))*(e15e+ee5e)+IF(e15b=0,0,IF(e15b&gt;value(J7),0,IF(e25b=0,value(J7)-e15b,IF(e25b&gt;value(J7),value(J7)-e15b,e25b-e15b))))*(e25e+ee5e)+IF(e25b=0,0,IF(e25b&gt;value(J7),0,value(J7)-e25b))*(e35e+ee5e))*(IF(e5x,est,0)+1/(1-egt))</v>
      </c>
      <c r="I7" s="8" t="s">
        <v>43</v>
      </c>
      <c r="J7" s="20">
        <v>128</v>
      </c>
      <c r="K7" s="1">
        <f>(ec5f*IF(e1f="month",1,e5d)+IF(e15b=0,VALUE(J7),IF(e15b&gt;VALUE(J7),VALUE(J7),e15b))*(e15e+ee5e)+IF(e15b=0,0,IF(e15b&gt;VALUE(J7),0,IF(e25b=0,VALUE(J7)-e15b,IF(e25b&gt;VALUE(J7),VALUE(J7)-e15b,e25b-e15b))))*(e25e+ee5e)+IF(e25b=0,0,IF(e25b&gt;VALUE(J7),0,VALUE(J7)-e25b))*(e35e+ee5e))*(IF(e5x,est,0)+1/(1-egt))</f>
        <v>24.284210526315789</v>
      </c>
      <c r="M7" s="6" t="str">
        <f t="shared" si="14"/>
        <v>ec5f</v>
      </c>
      <c r="N7" s="6">
        <f t="shared" si="0"/>
        <v>8.0299999999999994</v>
      </c>
      <c r="O7" s="6" t="str">
        <f t="shared" si="1"/>
        <v>e15e</v>
      </c>
      <c r="P7" s="6">
        <f t="shared" si="2"/>
        <v>0.11360000000000001</v>
      </c>
      <c r="Q7" s="6" t="str">
        <f t="shared" si="3"/>
        <v>e15b</v>
      </c>
      <c r="R7" s="6">
        <f t="shared" si="4"/>
        <v>0</v>
      </c>
      <c r="S7" s="6" t="str">
        <f t="shared" si="5"/>
        <v>e25e</v>
      </c>
      <c r="T7" s="6">
        <f t="shared" si="6"/>
        <v>0</v>
      </c>
      <c r="U7" s="6" t="str">
        <f t="shared" si="7"/>
        <v>e25b</v>
      </c>
      <c r="V7" s="6">
        <f t="shared" si="8"/>
        <v>0</v>
      </c>
      <c r="W7" s="6" t="str">
        <f t="shared" si="9"/>
        <v>e35e</v>
      </c>
      <c r="X7" s="6">
        <f t="shared" si="10"/>
        <v>0</v>
      </c>
      <c r="Y7" s="6" t="str">
        <f t="shared" si="11"/>
        <v>ee5e</v>
      </c>
      <c r="Z7" s="6">
        <f t="shared" si="12"/>
        <v>3.8999999999999998E-3</v>
      </c>
    </row>
    <row r="8" spans="1:26" x14ac:dyDescent="0.25">
      <c r="A8" s="8" t="s">
        <v>82</v>
      </c>
      <c r="B8" s="10" t="b">
        <f>FALSE</f>
        <v>0</v>
      </c>
      <c r="C8" s="6" t="s">
        <v>97</v>
      </c>
      <c r="D8" s="10">
        <v>30</v>
      </c>
      <c r="E8" s="8" t="s">
        <v>111</v>
      </c>
      <c r="F8" s="6" t="str">
        <f t="shared" si="13"/>
        <v>=(ec6f*IF(e1f="month",1,e6d)+IF(e16b=0,value(J8),IF(e16b&gt;value(J8),value(J8),e16b))*(e16e+ee6e)+IF(e16b=0,0,IF(e16b&gt;value(J8),0,IF(e26b=0,value(J8)-e16b,IF(e26b&gt;value(J8),value(J8)-e16b,e26b-e16b))))*(e26e+ee6e)+IF(e26b=0,0,IF(e26b&gt;value(J8),0,value(J8)-e26b))*(e36e+ee6e))*(IF(e5x,est,0)+1/(1-egt))</v>
      </c>
      <c r="I8" s="8" t="s">
        <v>44</v>
      </c>
      <c r="J8" s="20">
        <v>334</v>
      </c>
      <c r="K8" s="1">
        <f>(ec6f*IF(e1f="month",1,e6d)+IF(e16b=0,VALUE(J8),IF(e16b&gt;VALUE(J8),VALUE(J8),e16b))*(e16e+ee6e)+IF(e16b=0,0,IF(e16b&gt;VALUE(J8),0,IF(e26b=0,VALUE(J8)-e16b,IF(e26b&gt;VALUE(J8),VALUE(J8)-e16b,e26b-e16b))))*(e26e+ee6e)+IF(e26b=0,0,IF(e26b&gt;VALUE(J8),0,VALUE(J8)-e26b))*(e36e+ee6e))*(IF(e5x,est,0)+1/(1-egt))</f>
        <v>49.763157894736842</v>
      </c>
      <c r="M8" s="6" t="str">
        <f t="shared" si="14"/>
        <v>ec6f</v>
      </c>
      <c r="N8" s="6">
        <f t="shared" si="0"/>
        <v>8.0299999999999994</v>
      </c>
      <c r="O8" s="6" t="str">
        <f t="shared" si="1"/>
        <v>e16e</v>
      </c>
      <c r="P8" s="6">
        <f t="shared" si="2"/>
        <v>0.11360000000000001</v>
      </c>
      <c r="Q8" s="6" t="str">
        <f t="shared" si="3"/>
        <v>e16b</v>
      </c>
      <c r="R8" s="6">
        <f t="shared" si="4"/>
        <v>0</v>
      </c>
      <c r="S8" s="6" t="str">
        <f t="shared" si="5"/>
        <v>e26e</v>
      </c>
      <c r="T8" s="6">
        <f t="shared" si="6"/>
        <v>0</v>
      </c>
      <c r="U8" s="6" t="str">
        <f t="shared" si="7"/>
        <v>e26b</v>
      </c>
      <c r="V8" s="6">
        <f t="shared" si="8"/>
        <v>0</v>
      </c>
      <c r="W8" s="6" t="str">
        <f t="shared" si="9"/>
        <v>e36e</v>
      </c>
      <c r="X8" s="6">
        <f t="shared" si="10"/>
        <v>0</v>
      </c>
      <c r="Y8" s="6" t="str">
        <f t="shared" si="11"/>
        <v>ee6e</v>
      </c>
      <c r="Z8" s="6">
        <f t="shared" si="12"/>
        <v>3.8999999999999998E-3</v>
      </c>
    </row>
    <row r="9" spans="1:26" x14ac:dyDescent="0.25">
      <c r="A9" s="8" t="s">
        <v>83</v>
      </c>
      <c r="B9" s="10" t="b">
        <v>0</v>
      </c>
      <c r="C9" s="6" t="s">
        <v>98</v>
      </c>
      <c r="D9" s="10">
        <v>31</v>
      </c>
      <c r="E9" s="8" t="s">
        <v>112</v>
      </c>
      <c r="F9" s="6" t="str">
        <f t="shared" si="13"/>
        <v>=(ec7f*IF(e1f="month",1,e7d)+IF(e17b=0,value(J9),IF(e17b&gt;value(J9),value(J9),e17b))*(e17e+ee7e)+IF(e17b=0,0,IF(e17b&gt;value(J9),0,IF(e27b=0,value(J9)-e17b,IF(e27b&gt;value(J9),value(J9)-e17b,e27b-e17b))))*(e27e+ee7e)+IF(e27b=0,0,IF(e27b&gt;value(J9),0,value(J9)-e27b))*(e37e+ee7e))*(IF(e5x,est,0)+1/(1-egt))</v>
      </c>
      <c r="I9" s="8" t="s">
        <v>45</v>
      </c>
      <c r="J9" s="20">
        <v>467</v>
      </c>
      <c r="K9" s="1">
        <f>(ec7f*IF(e1f="month",1,e7d)+IF(e17b=0,VALUE(J9),IF(e17b&gt;VALUE(J9),VALUE(J9),e17b))*(e17e+ee7e)+IF(e17b=0,0,IF(e17b&gt;VALUE(J9),0,IF(e27b=0,VALUE(J9)-e17b,IF(e27b&gt;VALUE(J9),VALUE(J9)-e17b,e27b-e17b))))*(e27e+ee7e)+IF(e27b=0,0,IF(e27b&gt;VALUE(J9),0,VALUE(J9)-e27b))*(e37e+ee7e))*(IF(e5x,est,0)+1/(1-egt))</f>
        <v>66.213157894736838</v>
      </c>
      <c r="M9" s="6" t="str">
        <f t="shared" si="14"/>
        <v>ec7f</v>
      </c>
      <c r="N9" s="6">
        <f t="shared" si="0"/>
        <v>8.0299999999999994</v>
      </c>
      <c r="O9" s="6" t="str">
        <f t="shared" si="1"/>
        <v>e17e</v>
      </c>
      <c r="P9" s="6">
        <f t="shared" si="2"/>
        <v>0.11360000000000001</v>
      </c>
      <c r="Q9" s="6" t="str">
        <f t="shared" si="3"/>
        <v>e17b</v>
      </c>
      <c r="R9" s="6">
        <f t="shared" si="4"/>
        <v>0</v>
      </c>
      <c r="S9" s="6" t="str">
        <f t="shared" si="5"/>
        <v>e27e</v>
      </c>
      <c r="T9" s="6">
        <f t="shared" si="6"/>
        <v>0</v>
      </c>
      <c r="U9" s="6" t="str">
        <f t="shared" si="7"/>
        <v>e27b</v>
      </c>
      <c r="V9" s="6">
        <f t="shared" si="8"/>
        <v>0</v>
      </c>
      <c r="W9" s="6" t="str">
        <f t="shared" si="9"/>
        <v>e37e</v>
      </c>
      <c r="X9" s="6">
        <f t="shared" si="10"/>
        <v>0</v>
      </c>
      <c r="Y9" s="6" t="str">
        <f t="shared" si="11"/>
        <v>ee7e</v>
      </c>
      <c r="Z9" s="6">
        <f t="shared" si="12"/>
        <v>3.8999999999999998E-3</v>
      </c>
    </row>
    <row r="10" spans="1:26" x14ac:dyDescent="0.25">
      <c r="A10" s="8" t="s">
        <v>84</v>
      </c>
      <c r="B10" s="10" t="b">
        <v>0</v>
      </c>
      <c r="C10" s="6" t="s">
        <v>99</v>
      </c>
      <c r="D10" s="10">
        <v>31</v>
      </c>
      <c r="E10" s="8" t="s">
        <v>113</v>
      </c>
      <c r="F10" s="6" t="str">
        <f t="shared" si="13"/>
        <v>=(ec8f*IF(e1f="month",1,e8d)+IF(e18b=0,value(J10),IF(e18b&gt;value(J10),value(J10),e18b))*(e18e+ee8e)+IF(e18b=0,0,IF(e18b&gt;value(J10),0,IF(e28b=0,value(J10)-e18b,IF(e28b&gt;value(J10),value(J10)-e18b,e28b-e18b))))*(e28e+ee8e)+IF(e28b=0,0,IF(e28b&gt;value(J10),0,value(J10)-e28b))*(e38e+ee8e))*(IF(e5x,est,0)+1/(1-egt))</v>
      </c>
      <c r="I10" s="8" t="s">
        <v>46</v>
      </c>
      <c r="J10" s="20">
        <v>424</v>
      </c>
      <c r="K10" s="1">
        <f>(ec8f*IF(e1f="month",1,e8d)+IF(e18b=0,VALUE(J10),IF(e18b&gt;VALUE(J10),VALUE(J10),e18b))*(e18e+ee8e)+IF(e18b=0,0,IF(e18b&gt;VALUE(J10),0,IF(e28b=0,VALUE(J10)-e18b,IF(e28b&gt;VALUE(J10),VALUE(J10)-e18b,e28b-e18b))))*(e28e+ee8e)+IF(e28b=0,0,IF(e28b&gt;VALUE(J10),0,VALUE(J10)-e28b))*(e38e+ee8e))*(IF(e5x,est,0)+1/(1-egt))</f>
        <v>60.89473684210526</v>
      </c>
      <c r="M10" s="6" t="str">
        <f t="shared" si="14"/>
        <v>ec8f</v>
      </c>
      <c r="N10" s="6">
        <f t="shared" si="0"/>
        <v>8.0299999999999994</v>
      </c>
      <c r="O10" s="6" t="str">
        <f t="shared" si="1"/>
        <v>e18e</v>
      </c>
      <c r="P10" s="6">
        <f t="shared" si="2"/>
        <v>0.11360000000000001</v>
      </c>
      <c r="Q10" s="6" t="str">
        <f t="shared" si="3"/>
        <v>e18b</v>
      </c>
      <c r="R10" s="6">
        <f t="shared" si="4"/>
        <v>0</v>
      </c>
      <c r="S10" s="6" t="str">
        <f t="shared" si="5"/>
        <v>e28e</v>
      </c>
      <c r="T10" s="6">
        <f t="shared" si="6"/>
        <v>0</v>
      </c>
      <c r="U10" s="6" t="str">
        <f t="shared" si="7"/>
        <v>e28b</v>
      </c>
      <c r="V10" s="6">
        <f t="shared" si="8"/>
        <v>0</v>
      </c>
      <c r="W10" s="6" t="str">
        <f t="shared" si="9"/>
        <v>e38e</v>
      </c>
      <c r="X10" s="6">
        <f t="shared" si="10"/>
        <v>0</v>
      </c>
      <c r="Y10" s="6" t="str">
        <f t="shared" si="11"/>
        <v>ee8e</v>
      </c>
      <c r="Z10" s="6">
        <f t="shared" si="12"/>
        <v>3.8999999999999998E-3</v>
      </c>
    </row>
    <row r="11" spans="1:26" x14ac:dyDescent="0.25">
      <c r="A11" s="8" t="s">
        <v>85</v>
      </c>
      <c r="B11" s="10" t="b">
        <v>1</v>
      </c>
      <c r="C11" s="6" t="s">
        <v>100</v>
      </c>
      <c r="D11" s="10">
        <v>30</v>
      </c>
      <c r="E11" s="8" t="s">
        <v>114</v>
      </c>
      <c r="F11" s="6" t="str">
        <f t="shared" si="13"/>
        <v>=(ec9f*IF(e1f="month",1,e9d)+IF(e19b=0,value(J11),IF(e19b&gt;value(J11),value(J11),e19b))*(e19e+ee9e)+IF(e19b=0,0,IF(e19b&gt;value(J11),0,IF(e29b=0,value(J11)-e19b,IF(e29b&gt;value(J11),value(J11)-e19b,e29b-e19b))))*(e29e+ee9e)+IF(e29b=0,0,IF(e29b&gt;value(J11),0,value(J11)-e29b))*(e39e+ee9e))*(IF(e5x,est,0)+1/(1-egt))</v>
      </c>
      <c r="I11" s="8" t="s">
        <v>47</v>
      </c>
      <c r="J11" s="20">
        <v>202</v>
      </c>
      <c r="K11" s="1">
        <f>(ec9f*IF(e1f="month",1,e9d)+IF(e19b=0,VALUE(J11),IF(e19b&gt;VALUE(J11),VALUE(J11),e19b))*(e19e+ee9e)+IF(e19b=0,0,IF(e19b&gt;VALUE(J11),0,IF(e29b=0,VALUE(J11)-e19b,IF(e29b&gt;VALUE(J11),VALUE(J11)-e19b,e29b-e19b))))*(e29e+ee9e)+IF(e29b=0,0,IF(e29b&gt;VALUE(J11),0,VALUE(J11)-e29b))*(e39e+ee9e))*(IF(e5x,est,0)+1/(1-egt))</f>
        <v>26.611368421052628</v>
      </c>
      <c r="M11" s="6" t="str">
        <f t="shared" si="14"/>
        <v>ec9f</v>
      </c>
      <c r="N11" s="6">
        <f t="shared" si="0"/>
        <v>8.0299999999999994</v>
      </c>
      <c r="O11" s="6" t="str">
        <f t="shared" si="1"/>
        <v>e19e</v>
      </c>
      <c r="P11" s="6">
        <f t="shared" si="2"/>
        <v>8.0799999999999997E-2</v>
      </c>
      <c r="Q11" s="6" t="str">
        <f t="shared" si="3"/>
        <v>e19b</v>
      </c>
      <c r="R11" s="6">
        <f t="shared" si="4"/>
        <v>750</v>
      </c>
      <c r="S11" s="6" t="str">
        <f t="shared" si="5"/>
        <v>e29e</v>
      </c>
      <c r="T11" s="6">
        <f t="shared" si="6"/>
        <v>5.3800000000000001E-2</v>
      </c>
      <c r="U11" s="6" t="str">
        <f t="shared" si="7"/>
        <v>e29b</v>
      </c>
      <c r="V11" s="6">
        <f t="shared" si="8"/>
        <v>0</v>
      </c>
      <c r="W11" s="6" t="str">
        <f t="shared" si="9"/>
        <v>e39e</v>
      </c>
      <c r="X11" s="6">
        <f t="shared" si="10"/>
        <v>0</v>
      </c>
      <c r="Y11" s="6" t="str">
        <f t="shared" si="11"/>
        <v>ee9e</v>
      </c>
      <c r="Z11" s="6">
        <f t="shared" si="12"/>
        <v>4.5999999999999999E-3</v>
      </c>
    </row>
    <row r="12" spans="1:26" x14ac:dyDescent="0.25">
      <c r="A12" s="6" t="s">
        <v>72</v>
      </c>
      <c r="B12" s="10" t="b">
        <v>1</v>
      </c>
      <c r="C12" s="6" t="s">
        <v>101</v>
      </c>
      <c r="D12" s="10">
        <v>31</v>
      </c>
      <c r="E12" s="8" t="s">
        <v>115</v>
      </c>
      <c r="F12" s="6" t="str">
        <f t="shared" si="13"/>
        <v>=(ecaf*IF(e1f="month",1,ead)+IF(e1ab=0,value(J12),IF(e1ab&gt;value(J12),value(J12),e1ab))*(e1ae+eeae)+IF(e1ab=0,0,IF(e1ab&gt;value(J12),0,IF(e2ab=0,value(J12)-e1ab,IF(e2ab&gt;value(J12),value(J12)-e1ab,e2ab-e1ab))))*(e2ae+eeae)+IF(e2ab=0,0,IF(e2ab&gt;value(J12),0,value(J12)-e2ab))*(e3ae+eeae))*(IF(e5x,est,0)+1/(1-egt))</v>
      </c>
      <c r="I12" s="8" t="s">
        <v>48</v>
      </c>
      <c r="J12" s="20">
        <v>41</v>
      </c>
      <c r="K12" s="1">
        <f>(ecaf*IF(e1f="month",1,ead)+IF(e1ab=0,VALUE(J12),IF(e1ab&gt;VALUE(J12),VALUE(J12),e1ab))*(e1ae+eeae)+IF(e1ab=0,0,IF(e1ab&gt;VALUE(J12),0,IF(e2ab=0,VALUE(J12)-e1ab,IF(e2ab&gt;VALUE(J12),VALUE(J12)-e1ab,e2ab-e1ab))))*(e2ae+eeae)+IF(e2ab=0,0,IF(e2ab&gt;VALUE(J12),0,VALUE(J12)-e2ab))*(e3ae+eeae))*(IF(e5x,est,0)+1/(1-egt))</f>
        <v>12.138315789473683</v>
      </c>
      <c r="M12" s="6" t="str">
        <f t="shared" si="14"/>
        <v>ecaf</v>
      </c>
      <c r="N12" s="6">
        <f t="shared" si="0"/>
        <v>8.0299999999999994</v>
      </c>
      <c r="O12" s="6" t="str">
        <f t="shared" si="1"/>
        <v>e1ae</v>
      </c>
      <c r="P12" s="6">
        <f t="shared" si="2"/>
        <v>8.0799999999999997E-2</v>
      </c>
      <c r="Q12" s="6" t="str">
        <f t="shared" si="3"/>
        <v>e1ab</v>
      </c>
      <c r="R12" s="6">
        <f t="shared" si="4"/>
        <v>750</v>
      </c>
      <c r="S12" s="6" t="str">
        <f t="shared" si="5"/>
        <v>e2ae</v>
      </c>
      <c r="T12" s="6">
        <f t="shared" si="6"/>
        <v>5.3800000000000001E-2</v>
      </c>
      <c r="U12" s="6" t="str">
        <f t="shared" si="7"/>
        <v>e2ab</v>
      </c>
      <c r="V12" s="6">
        <f t="shared" si="8"/>
        <v>0</v>
      </c>
      <c r="W12" s="6" t="str">
        <f t="shared" si="9"/>
        <v>e3ae</v>
      </c>
      <c r="X12" s="6">
        <f t="shared" si="10"/>
        <v>0</v>
      </c>
      <c r="Y12" s="6" t="str">
        <f t="shared" si="11"/>
        <v>eeae</v>
      </c>
      <c r="Z12" s="6">
        <f t="shared" si="12"/>
        <v>4.5999999999999999E-3</v>
      </c>
    </row>
    <row r="13" spans="1:26" x14ac:dyDescent="0.25">
      <c r="A13" s="6" t="s">
        <v>73</v>
      </c>
      <c r="B13" s="10" t="b">
        <f>TRUE</f>
        <v>1</v>
      </c>
      <c r="C13" s="6" t="s">
        <v>102</v>
      </c>
      <c r="D13" s="10">
        <v>30</v>
      </c>
      <c r="E13" s="8" t="s">
        <v>116</v>
      </c>
      <c r="F13" s="6" t="str">
        <f t="shared" si="13"/>
        <v>=(ecbf*IF(e1f="month",1,ebd)+IF(e1bb=0,value(J13),IF(e1bb&gt;value(J13),value(J13),e1bb))*(e1be+eebe)+IF(e1bb=0,0,IF(e1bb&gt;value(J13),0,IF(e2bb=0,value(J13)-e1bb,IF(e2bb&gt;value(J13),value(J13)-e1bb,e2bb-e1bb))))*(e2be+eebe)+IF(e2bb=0,0,IF(e2bb&gt;value(J13),0,value(J13)-e2bb))*(e3be+eebe))*(IF(e5x,est,0)+1/(1-egt))</v>
      </c>
      <c r="I13" s="8" t="s">
        <v>49</v>
      </c>
      <c r="J13" s="20">
        <v>4</v>
      </c>
      <c r="K13" s="1">
        <f>(ecbf*IF(e1f="month",1,ebd)+IF(e1bb=0,VALUE(J13),IF(e1bb&gt;VALUE(J13),VALUE(J13),e1bb))*(e1be+eebe)+IF(e1bb=0,0,IF(e1bb&gt;VALUE(J13),0,IF(e2bb=0,VALUE(J13)-e1bb,IF(e2bb&gt;VALUE(J13),VALUE(J13)-e1bb,e2bb-e1bb))))*(e2be+eebe)+IF(e2bb=0,0,IF(e2bb&gt;VALUE(J13),0,VALUE(J13)-e2bb))*(e3be+eebe))*(IF(e5x,est,0)+1/(1-egt))</f>
        <v>8.8122105263157877</v>
      </c>
      <c r="M13" s="6" t="str">
        <f t="shared" si="14"/>
        <v>ecbf</v>
      </c>
      <c r="N13" s="6">
        <f t="shared" si="0"/>
        <v>8.0299999999999994</v>
      </c>
      <c r="O13" s="6" t="str">
        <f t="shared" si="1"/>
        <v>e1be</v>
      </c>
      <c r="P13" s="6">
        <f t="shared" si="2"/>
        <v>8.0799999999999997E-2</v>
      </c>
      <c r="Q13" s="6" t="str">
        <f t="shared" si="3"/>
        <v>e1bb</v>
      </c>
      <c r="R13" s="6">
        <f t="shared" si="4"/>
        <v>750</v>
      </c>
      <c r="S13" s="6" t="str">
        <f t="shared" si="5"/>
        <v>e2be</v>
      </c>
      <c r="T13" s="6">
        <f t="shared" si="6"/>
        <v>5.3800000000000001E-2</v>
      </c>
      <c r="U13" s="6" t="str">
        <f t="shared" si="7"/>
        <v>e2bb</v>
      </c>
      <c r="V13" s="6">
        <f t="shared" si="8"/>
        <v>0</v>
      </c>
      <c r="W13" s="6" t="str">
        <f t="shared" si="9"/>
        <v>e3be</v>
      </c>
      <c r="X13" s="6">
        <f t="shared" si="10"/>
        <v>0</v>
      </c>
      <c r="Y13" s="6" t="str">
        <f t="shared" si="11"/>
        <v>eebe</v>
      </c>
      <c r="Z13" s="6">
        <f t="shared" si="12"/>
        <v>4.5999999999999999E-3</v>
      </c>
    </row>
    <row r="14" spans="1:26" x14ac:dyDescent="0.25">
      <c r="A14" s="6" t="s">
        <v>74</v>
      </c>
      <c r="B14" s="10" t="b">
        <f>TRUE</f>
        <v>1</v>
      </c>
      <c r="C14" s="6" t="s">
        <v>103</v>
      </c>
      <c r="D14" s="10">
        <v>31</v>
      </c>
      <c r="E14" s="8" t="s">
        <v>117</v>
      </c>
      <c r="F14" s="6" t="str">
        <f t="shared" si="13"/>
        <v>=(eccf*IF(e1f="month",1,ecd)+IF(e1cb=0,value(J14),IF(e1cb&gt;value(J14),value(J14),e1cb))*(e1ce+eece)+IF(e1cb=0,0,IF(e1cb&gt;value(J14),0,IF(e2cb=0,value(J14)-e1cb,IF(e2cb&gt;value(J14),value(J14)-e1cb,e2cb-e1cb))))*(e2ce+eece)+IF(e2cb=0,0,IF(e2cb&gt;value(J14),0,value(J14)-e2cb))*(e3ce+eece))*(IF(e5x,est,0)+1/(1-egt))</v>
      </c>
      <c r="I14" s="8" t="s">
        <v>50</v>
      </c>
      <c r="J14" s="20">
        <v>0</v>
      </c>
      <c r="K14" s="1">
        <f>(eccf*IF(e1f="month",1,ecd)+IF(e1cb=0,VALUE(J14),IF(e1cb&gt;VALUE(J14),VALUE(J14),e1cb))*(e1ce+eece)+IF(e1cb=0,0,IF(e1cb&gt;VALUE(J14),0,IF(e2cb=0,VALUE(J14)-e1cb,IF(e2cb&gt;VALUE(J14),VALUE(J14)-e1cb,e2cb-e1cb))))*(e2ce+eece)+IF(e2cb=0,0,IF(e2cb&gt;VALUE(J14),0,VALUE(J14)-e2cb))*(e3ce+eece))*(IF(e5x,est,0)+1/(1-egt))</f>
        <v>8.4526315789473667</v>
      </c>
      <c r="M14" s="6" t="str">
        <f t="shared" si="14"/>
        <v>eccf</v>
      </c>
      <c r="N14" s="6">
        <f t="shared" si="0"/>
        <v>8.0299999999999994</v>
      </c>
      <c r="O14" s="6" t="str">
        <f t="shared" si="1"/>
        <v>e1ce</v>
      </c>
      <c r="P14" s="6">
        <f t="shared" si="2"/>
        <v>8.0799999999999997E-2</v>
      </c>
      <c r="Q14" s="6" t="str">
        <f t="shared" si="3"/>
        <v>e1cb</v>
      </c>
      <c r="R14" s="6">
        <f t="shared" si="4"/>
        <v>750</v>
      </c>
      <c r="S14" s="6" t="str">
        <f t="shared" si="5"/>
        <v>e2ce</v>
      </c>
      <c r="T14" s="6">
        <f t="shared" si="6"/>
        <v>5.3800000000000001E-2</v>
      </c>
      <c r="U14" s="6" t="str">
        <f t="shared" si="7"/>
        <v>e2cb</v>
      </c>
      <c r="V14" s="6">
        <f t="shared" si="8"/>
        <v>0</v>
      </c>
      <c r="W14" s="6" t="str">
        <f t="shared" si="9"/>
        <v>e3ce</v>
      </c>
      <c r="X14" s="6">
        <f t="shared" si="10"/>
        <v>0</v>
      </c>
      <c r="Y14" s="6" t="str">
        <f t="shared" si="11"/>
        <v>eece</v>
      </c>
      <c r="Z14" s="6">
        <f t="shared" si="12"/>
        <v>4.5999999999999999E-3</v>
      </c>
    </row>
    <row r="15" spans="1:26" x14ac:dyDescent="0.25">
      <c r="D15" s="6">
        <f>SUM(D3:D14)</f>
        <v>365</v>
      </c>
      <c r="I15" s="6" t="s">
        <v>90</v>
      </c>
      <c r="J15" s="20">
        <f>SUM(J3:J14)</f>
        <v>1646</v>
      </c>
      <c r="K15" s="6">
        <f>SUM(K3:K14)</f>
        <v>295.11547368421049</v>
      </c>
      <c r="M15" s="6" t="s">
        <v>143</v>
      </c>
      <c r="O15" s="6" t="s">
        <v>91</v>
      </c>
      <c r="Q15" s="6" t="s">
        <v>73</v>
      </c>
      <c r="S15" s="6" t="s">
        <v>91</v>
      </c>
      <c r="U15" s="6" t="s">
        <v>73</v>
      </c>
      <c r="W15" s="6" t="s">
        <v>91</v>
      </c>
      <c r="Y15" s="6" t="s">
        <v>91</v>
      </c>
    </row>
    <row r="16" spans="1:26" x14ac:dyDescent="0.25">
      <c r="J16" s="11"/>
      <c r="O16" s="6" t="s">
        <v>137</v>
      </c>
    </row>
    <row r="17" spans="1:28" x14ac:dyDescent="0.25">
      <c r="O17" s="6" t="s">
        <v>153</v>
      </c>
    </row>
    <row r="18" spans="1:28" x14ac:dyDescent="0.25">
      <c r="B18" s="6" t="s">
        <v>104</v>
      </c>
      <c r="C18" s="10">
        <v>0.05</v>
      </c>
      <c r="D18" s="6" t="s">
        <v>87</v>
      </c>
      <c r="J18" s="6" t="s">
        <v>35</v>
      </c>
      <c r="K18" s="6" t="b">
        <v>1</v>
      </c>
      <c r="L18" s="6" t="s">
        <v>14</v>
      </c>
      <c r="O18" s="6" t="s">
        <v>151</v>
      </c>
      <c r="U18" s="8"/>
    </row>
    <row r="19" spans="1:28" x14ac:dyDescent="0.25">
      <c r="B19" s="6" t="s">
        <v>105</v>
      </c>
      <c r="C19" s="10">
        <v>0.08</v>
      </c>
      <c r="D19" s="6" t="s">
        <v>3</v>
      </c>
      <c r="J19" s="6" t="s">
        <v>36</v>
      </c>
      <c r="K19" s="6" t="b">
        <v>0</v>
      </c>
      <c r="L19" s="6" t="s">
        <v>17</v>
      </c>
      <c r="O19" s="6" t="s">
        <v>152</v>
      </c>
    </row>
    <row r="20" spans="1:28" x14ac:dyDescent="0.25">
      <c r="O20" s="6" t="s">
        <v>138</v>
      </c>
      <c r="R20" s="8"/>
      <c r="S20" s="8"/>
    </row>
    <row r="22" spans="1:28" x14ac:dyDescent="0.25">
      <c r="M22" s="9" t="s">
        <v>51</v>
      </c>
      <c r="N22" s="9" t="s">
        <v>51</v>
      </c>
      <c r="O22" s="9" t="s">
        <v>51</v>
      </c>
      <c r="P22" s="9" t="s">
        <v>51</v>
      </c>
      <c r="Q22" s="9" t="s">
        <v>51</v>
      </c>
      <c r="R22" s="9" t="s">
        <v>51</v>
      </c>
      <c r="S22" s="9" t="s">
        <v>51</v>
      </c>
      <c r="T22" s="9" t="s">
        <v>51</v>
      </c>
      <c r="U22" s="9" t="s">
        <v>52</v>
      </c>
      <c r="V22" s="9" t="s">
        <v>52</v>
      </c>
      <c r="W22" s="9" t="s">
        <v>52</v>
      </c>
      <c r="X22" s="9" t="s">
        <v>52</v>
      </c>
      <c r="Y22" s="9" t="s">
        <v>52</v>
      </c>
      <c r="Z22" s="9" t="s">
        <v>52</v>
      </c>
      <c r="AA22" s="9" t="s">
        <v>52</v>
      </c>
      <c r="AB22" s="9" t="s">
        <v>52</v>
      </c>
    </row>
    <row r="23" spans="1:28" ht="30" customHeight="1" x14ac:dyDescent="0.25">
      <c r="A23" s="6">
        <v>1</v>
      </c>
      <c r="B23" s="6" t="s">
        <v>53</v>
      </c>
      <c r="C23" s="12">
        <v>3</v>
      </c>
      <c r="D23" s="13" t="s">
        <v>1</v>
      </c>
      <c r="G23" s="14" t="s">
        <v>1</v>
      </c>
      <c r="H23" s="14" t="s">
        <v>0</v>
      </c>
      <c r="I23" s="14" t="s">
        <v>124</v>
      </c>
      <c r="J23" s="14" t="s">
        <v>2</v>
      </c>
      <c r="K23" s="14" t="s">
        <v>3</v>
      </c>
      <c r="L23" s="14" t="s">
        <v>6</v>
      </c>
      <c r="M23" s="14" t="s">
        <v>4</v>
      </c>
      <c r="N23" s="14" t="s">
        <v>5</v>
      </c>
      <c r="O23" s="14" t="s">
        <v>7</v>
      </c>
      <c r="P23" s="14" t="s">
        <v>9</v>
      </c>
      <c r="Q23" s="14" t="s">
        <v>10</v>
      </c>
      <c r="R23" s="14" t="s">
        <v>32</v>
      </c>
      <c r="S23" s="14" t="s">
        <v>33</v>
      </c>
      <c r="T23" s="14" t="s">
        <v>149</v>
      </c>
      <c r="U23" s="14" t="s">
        <v>4</v>
      </c>
      <c r="V23" s="14" t="s">
        <v>5</v>
      </c>
      <c r="W23" s="14" t="s">
        <v>7</v>
      </c>
      <c r="X23" s="14" t="s">
        <v>9</v>
      </c>
      <c r="Y23" s="14" t="s">
        <v>10</v>
      </c>
      <c r="Z23" s="14" t="s">
        <v>32</v>
      </c>
      <c r="AA23" s="14" t="s">
        <v>33</v>
      </c>
      <c r="AB23" s="14" t="s">
        <v>149</v>
      </c>
    </row>
    <row r="24" spans="1:28" x14ac:dyDescent="0.25">
      <c r="A24" s="6">
        <v>2</v>
      </c>
      <c r="B24" s="6" t="s">
        <v>54</v>
      </c>
      <c r="C24" s="6" t="str">
        <f t="shared" ref="C24:C44" si="15">VLOOKUP(e1x,ElecArray,A24)</f>
        <v>Ameren MO Residential</v>
      </c>
      <c r="D24" s="6" t="s">
        <v>0</v>
      </c>
      <c r="G24" s="9">
        <v>1</v>
      </c>
      <c r="H24" s="10" t="s">
        <v>34</v>
      </c>
      <c r="I24" s="15">
        <v>40603</v>
      </c>
      <c r="J24" s="10" t="s">
        <v>35</v>
      </c>
      <c r="K24" s="10" t="b">
        <v>0</v>
      </c>
      <c r="L24" s="10" t="s">
        <v>14</v>
      </c>
      <c r="M24" s="16">
        <v>8</v>
      </c>
      <c r="N24" s="10">
        <v>0.03</v>
      </c>
      <c r="O24" s="10">
        <v>8.0799999999999997E-2</v>
      </c>
      <c r="P24" s="10">
        <v>750</v>
      </c>
      <c r="Q24" s="10">
        <v>5.3800000000000001E-2</v>
      </c>
      <c r="R24" s="10"/>
      <c r="S24" s="10"/>
      <c r="T24" s="10">
        <f>0.004+0.00373</f>
        <v>7.7299999999999999E-3</v>
      </c>
      <c r="U24" s="16">
        <v>8</v>
      </c>
      <c r="V24" s="10">
        <v>0.03</v>
      </c>
      <c r="W24" s="10">
        <v>0.11360000000000001</v>
      </c>
      <c r="X24" s="10"/>
      <c r="Y24" s="10"/>
      <c r="Z24" s="10"/>
      <c r="AA24" s="10"/>
      <c r="AB24" s="10">
        <f>0.0045+0.00373</f>
        <v>8.2299999999999995E-3</v>
      </c>
    </row>
    <row r="25" spans="1:28" x14ac:dyDescent="0.25">
      <c r="A25" s="6">
        <v>3</v>
      </c>
      <c r="B25" s="6" t="s">
        <v>57</v>
      </c>
      <c r="C25" s="6">
        <f t="shared" si="15"/>
        <v>41666</v>
      </c>
      <c r="D25" s="6" t="s">
        <v>124</v>
      </c>
      <c r="G25" s="9">
        <v>2</v>
      </c>
      <c r="H25" s="10" t="s">
        <v>37</v>
      </c>
      <c r="I25" s="15">
        <v>41666</v>
      </c>
      <c r="J25" s="10" t="s">
        <v>35</v>
      </c>
      <c r="K25" s="10" t="b">
        <v>0</v>
      </c>
      <c r="L25" s="10" t="s">
        <v>17</v>
      </c>
      <c r="M25" s="16">
        <v>0.5</v>
      </c>
      <c r="N25" s="10"/>
      <c r="O25" s="10">
        <v>9.4500000000000001E-2</v>
      </c>
      <c r="P25" s="10">
        <v>400</v>
      </c>
      <c r="Q25" s="10">
        <v>7.1499999999999994E-2</v>
      </c>
      <c r="R25" s="10">
        <v>1800</v>
      </c>
      <c r="S25" s="10">
        <v>5.3499999999999999E-2</v>
      </c>
      <c r="T25" s="10"/>
      <c r="U25" s="16">
        <v>0.5</v>
      </c>
      <c r="V25" s="10"/>
      <c r="W25" s="10">
        <v>9.4500000000000001E-2</v>
      </c>
      <c r="X25" s="10">
        <v>400</v>
      </c>
      <c r="Y25" s="10">
        <v>7.1499999999999994E-2</v>
      </c>
      <c r="Z25" s="10">
        <v>1800</v>
      </c>
      <c r="AA25" s="10">
        <v>5.3499999999999999E-2</v>
      </c>
      <c r="AB25" s="10"/>
    </row>
    <row r="26" spans="1:28" x14ac:dyDescent="0.25">
      <c r="A26" s="6">
        <v>4</v>
      </c>
      <c r="B26" s="6" t="s">
        <v>55</v>
      </c>
      <c r="C26" s="6" t="str">
        <f t="shared" si="15"/>
        <v>kWh</v>
      </c>
      <c r="D26" s="6" t="s">
        <v>2</v>
      </c>
      <c r="G26" s="9">
        <v>3</v>
      </c>
      <c r="H26" s="10" t="s">
        <v>34</v>
      </c>
      <c r="I26" s="15">
        <v>41666</v>
      </c>
      <c r="J26" s="10" t="s">
        <v>35</v>
      </c>
      <c r="K26" s="10" t="b">
        <v>0</v>
      </c>
      <c r="L26" s="10" t="s">
        <v>14</v>
      </c>
      <c r="M26" s="16">
        <v>8</v>
      </c>
      <c r="N26" s="10">
        <v>0.03</v>
      </c>
      <c r="O26" s="10">
        <v>8.0799999999999997E-2</v>
      </c>
      <c r="P26" s="10">
        <v>750</v>
      </c>
      <c r="Q26" s="10">
        <v>5.3800000000000001E-2</v>
      </c>
      <c r="R26" s="10"/>
      <c r="S26" s="10"/>
      <c r="T26" s="10">
        <f>0.0019+0.0027</f>
        <v>4.5999999999999999E-3</v>
      </c>
      <c r="U26" s="16">
        <v>8</v>
      </c>
      <c r="V26" s="10">
        <v>0.03</v>
      </c>
      <c r="W26" s="10">
        <v>0.11360000000000001</v>
      </c>
      <c r="X26" s="10"/>
      <c r="Y26" s="10"/>
      <c r="Z26" s="10"/>
      <c r="AA26" s="10"/>
      <c r="AB26" s="10">
        <f>0.0012+0.0027</f>
        <v>3.8999999999999998E-3</v>
      </c>
    </row>
    <row r="27" spans="1:28" x14ac:dyDescent="0.25">
      <c r="A27" s="6">
        <v>5</v>
      </c>
      <c r="B27" s="6" t="s">
        <v>125</v>
      </c>
      <c r="C27" s="6" t="b">
        <f t="shared" si="15"/>
        <v>0</v>
      </c>
      <c r="D27" s="6" t="s">
        <v>3</v>
      </c>
      <c r="G27" s="9">
        <v>4</v>
      </c>
      <c r="H27" s="18"/>
      <c r="I27" s="1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5">
      <c r="A28" s="6">
        <v>6</v>
      </c>
      <c r="B28" s="6" t="s">
        <v>58</v>
      </c>
      <c r="C28" s="6" t="str">
        <f t="shared" si="15"/>
        <v>Month</v>
      </c>
      <c r="D28" s="6" t="s">
        <v>6</v>
      </c>
      <c r="G28" s="9">
        <v>5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5">
      <c r="A29" s="6">
        <v>7</v>
      </c>
      <c r="B29" s="6" t="s">
        <v>145</v>
      </c>
      <c r="C29" s="6">
        <f t="shared" si="15"/>
        <v>8</v>
      </c>
      <c r="D29" s="6" t="s">
        <v>4</v>
      </c>
      <c r="F29" s="6" t="s">
        <v>51</v>
      </c>
      <c r="G29" s="9">
        <v>6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5">
      <c r="A30" s="6">
        <v>8</v>
      </c>
      <c r="B30" s="6" t="s">
        <v>146</v>
      </c>
      <c r="C30" s="6">
        <f t="shared" si="15"/>
        <v>0.03</v>
      </c>
      <c r="D30" s="6" t="s">
        <v>5</v>
      </c>
      <c r="F30" s="6" t="s">
        <v>51</v>
      </c>
      <c r="G30" s="9">
        <v>7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5">
      <c r="A31" s="6">
        <v>9</v>
      </c>
      <c r="B31" s="6" t="s">
        <v>59</v>
      </c>
      <c r="C31" s="6">
        <f t="shared" si="15"/>
        <v>8.0799999999999997E-2</v>
      </c>
      <c r="D31" s="6" t="s">
        <v>7</v>
      </c>
      <c r="F31" s="6" t="s">
        <v>51</v>
      </c>
      <c r="G31" s="9">
        <v>8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5">
      <c r="A32" s="6">
        <v>10</v>
      </c>
      <c r="B32" s="6" t="s">
        <v>60</v>
      </c>
      <c r="C32" s="6">
        <f t="shared" si="15"/>
        <v>750</v>
      </c>
      <c r="D32" s="6" t="s">
        <v>9</v>
      </c>
      <c r="F32" s="6" t="s">
        <v>51</v>
      </c>
      <c r="G32" s="9">
        <v>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5">
      <c r="A33" s="6">
        <v>11</v>
      </c>
      <c r="B33" s="6" t="s">
        <v>61</v>
      </c>
      <c r="C33" s="6">
        <f t="shared" si="15"/>
        <v>5.3800000000000001E-2</v>
      </c>
      <c r="D33" s="6" t="s">
        <v>10</v>
      </c>
      <c r="F33" s="6" t="s">
        <v>51</v>
      </c>
      <c r="G33" s="9">
        <v>10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5">
      <c r="A34" s="6">
        <v>12</v>
      </c>
      <c r="B34" s="6" t="s">
        <v>62</v>
      </c>
      <c r="C34" s="6">
        <f t="shared" si="15"/>
        <v>0</v>
      </c>
      <c r="D34" s="6" t="s">
        <v>32</v>
      </c>
      <c r="F34" s="6" t="s">
        <v>51</v>
      </c>
      <c r="G34" s="9">
        <v>11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5">
      <c r="A35" s="6">
        <v>13</v>
      </c>
      <c r="B35" s="6" t="s">
        <v>63</v>
      </c>
      <c r="C35" s="6">
        <f t="shared" si="15"/>
        <v>0</v>
      </c>
      <c r="D35" s="6" t="s">
        <v>33</v>
      </c>
      <c r="F35" s="6" t="s">
        <v>51</v>
      </c>
      <c r="G35" s="9">
        <v>12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5">
      <c r="A36" s="6">
        <v>14</v>
      </c>
      <c r="B36" s="6" t="s">
        <v>64</v>
      </c>
      <c r="C36" s="6">
        <f t="shared" si="15"/>
        <v>4.5999999999999999E-3</v>
      </c>
      <c r="D36" s="6" t="s">
        <v>149</v>
      </c>
      <c r="F36" s="6" t="s">
        <v>51</v>
      </c>
      <c r="G36" s="9">
        <v>13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5">
      <c r="A37" s="6">
        <v>15</v>
      </c>
      <c r="B37" s="6" t="s">
        <v>147</v>
      </c>
      <c r="C37" s="6">
        <f t="shared" si="15"/>
        <v>8</v>
      </c>
      <c r="D37" s="6" t="s">
        <v>4</v>
      </c>
      <c r="F37" s="6" t="s">
        <v>52</v>
      </c>
      <c r="G37" s="9">
        <v>14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5">
      <c r="A38" s="6">
        <v>16</v>
      </c>
      <c r="B38" s="6" t="s">
        <v>148</v>
      </c>
      <c r="C38" s="6">
        <f t="shared" si="15"/>
        <v>0.03</v>
      </c>
      <c r="D38" s="6" t="s">
        <v>5</v>
      </c>
      <c r="F38" s="6" t="s">
        <v>52</v>
      </c>
      <c r="G38" s="9">
        <v>15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5">
      <c r="A39" s="6">
        <v>17</v>
      </c>
      <c r="B39" s="6" t="s">
        <v>65</v>
      </c>
      <c r="C39" s="6">
        <f t="shared" si="15"/>
        <v>0.11360000000000001</v>
      </c>
      <c r="D39" s="6" t="s">
        <v>7</v>
      </c>
      <c r="F39" s="6" t="s">
        <v>52</v>
      </c>
      <c r="G39" s="9">
        <v>16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5">
      <c r="A40" s="6">
        <v>18</v>
      </c>
      <c r="B40" s="6" t="s">
        <v>68</v>
      </c>
      <c r="C40" s="6">
        <f t="shared" si="15"/>
        <v>0</v>
      </c>
      <c r="D40" s="6" t="s">
        <v>9</v>
      </c>
      <c r="F40" s="6" t="s">
        <v>52</v>
      </c>
      <c r="G40" s="9">
        <v>17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5">
      <c r="A41" s="6">
        <v>19</v>
      </c>
      <c r="B41" s="6" t="s">
        <v>67</v>
      </c>
      <c r="C41" s="6">
        <f t="shared" si="15"/>
        <v>0</v>
      </c>
      <c r="D41" s="6" t="s">
        <v>10</v>
      </c>
      <c r="F41" s="6" t="s">
        <v>52</v>
      </c>
      <c r="G41" s="9">
        <v>18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5">
      <c r="A42" s="6">
        <v>20</v>
      </c>
      <c r="B42" s="6" t="s">
        <v>66</v>
      </c>
      <c r="C42" s="6">
        <f t="shared" si="15"/>
        <v>0</v>
      </c>
      <c r="D42" s="6" t="s">
        <v>32</v>
      </c>
      <c r="F42" s="6" t="s">
        <v>52</v>
      </c>
      <c r="G42" s="9">
        <v>19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x14ac:dyDescent="0.25">
      <c r="A43" s="6">
        <v>21</v>
      </c>
      <c r="B43" s="6" t="s">
        <v>69</v>
      </c>
      <c r="C43" s="6">
        <f t="shared" si="15"/>
        <v>0</v>
      </c>
      <c r="D43" s="6" t="s">
        <v>33</v>
      </c>
      <c r="F43" s="6" t="s">
        <v>52</v>
      </c>
      <c r="G43" s="9">
        <v>20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x14ac:dyDescent="0.25">
      <c r="A44" s="6">
        <v>22</v>
      </c>
      <c r="B44" s="6" t="s">
        <v>70</v>
      </c>
      <c r="C44" s="6">
        <f t="shared" si="15"/>
        <v>3.8999999999999998E-3</v>
      </c>
      <c r="D44" s="6" t="s">
        <v>149</v>
      </c>
      <c r="F44" s="6" t="s">
        <v>52</v>
      </c>
      <c r="G44" s="9">
        <v>21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25">
      <c r="G45" s="9">
        <v>22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5">
      <c r="G46" s="9">
        <v>23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25">
      <c r="G47" s="9">
        <v>24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x14ac:dyDescent="0.25">
      <c r="G48" s="9">
        <v>25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50" spans="2:2" x14ac:dyDescent="0.25">
      <c r="B50" s="8"/>
    </row>
    <row r="51" spans="2:2" x14ac:dyDescent="0.25">
      <c r="B51" s="6" t="str">
        <f t="shared" ref="B51:B62" si="16">F3</f>
        <v>=(ec1f*IF(e1f="month",1,e1d)+IF(e11b=0,value(J3),IF(e11b&gt;value(J3),value(J3),e11b))*(e11e+ee1e)+IF(e11b=0,0,IF(e11b&gt;value(J3),0,IF(e21b=0,value(J3)-e11b,IF(e21b&gt;value(J3),value(J3)-e11b,e21b-e11b))))*(e21e+ee1e)+IF(e21b=0,0,IF(e21b&gt;value(J3),0,value(J3)-e21b))*(e31e+ee1e))*(IF(e5x,est,0)+1/(1-egt))</v>
      </c>
    </row>
    <row r="52" spans="2:2" x14ac:dyDescent="0.25">
      <c r="B52" s="6" t="str">
        <f t="shared" si="16"/>
        <v>=(ec2f*IF(e1f="month",1,e2d)+IF(e12b=0,value(J4),IF(e12b&gt;value(J4),value(J4),e12b))*(e12e+ee2e)+IF(e12b=0,0,IF(e12b&gt;value(J4),0,IF(e22b=0,value(J4)-e12b,IF(e22b&gt;value(J4),value(J4)-e12b,e22b-e12b))))*(e22e+ee2e)+IF(e22b=0,0,IF(e22b&gt;value(J4),0,value(J4)-e22b))*(e32e+ee2e))*(IF(e5x,est,0)+1/(1-egt))</v>
      </c>
    </row>
    <row r="53" spans="2:2" x14ac:dyDescent="0.25">
      <c r="B53" s="6" t="str">
        <f t="shared" si="16"/>
        <v>=(ec3f*IF(e1f="month",1,e3d)+IF(e13b=0,value(J5),IF(e13b&gt;value(J5),value(J5),e13b))*(e13e+ee3e)+IF(e13b=0,0,IF(e13b&gt;value(J5),0,IF(e23b=0,value(J5)-e13b,IF(e23b&gt;value(J5),value(J5)-e13b,e23b-e13b))))*(e23e+ee3e)+IF(e23b=0,0,IF(e23b&gt;value(J5),0,value(J5)-e23b))*(e33e+ee3e))*(IF(e5x,est,0)+1/(1-egt))</v>
      </c>
    </row>
    <row r="54" spans="2:2" x14ac:dyDescent="0.25">
      <c r="B54" s="6" t="str">
        <f t="shared" si="16"/>
        <v>=(ec4f*IF(e1f="month",1,e4d)+IF(e14b=0,value(J6),IF(e14b&gt;value(J6),value(J6),e14b))*(e14e+ee4e)+IF(e14b=0,0,IF(e14b&gt;value(J6),0,IF(e24b=0,value(J6)-e14b,IF(e24b&gt;value(J6),value(J6)-e14b,e24b-e14b))))*(e24e+ee4e)+IF(e24b=0,0,IF(e24b&gt;value(J6),0,value(J6)-e24b))*(e34e+ee4e))*(IF(e5x,est,0)+1/(1-egt))</v>
      </c>
    </row>
    <row r="55" spans="2:2" x14ac:dyDescent="0.25">
      <c r="B55" s="6" t="str">
        <f t="shared" si="16"/>
        <v>=(ec5f*IF(e1f="month",1,e5d)+IF(e15b=0,value(J7),IF(e15b&gt;value(J7),value(J7),e15b))*(e15e+ee5e)+IF(e15b=0,0,IF(e15b&gt;value(J7),0,IF(e25b=0,value(J7)-e15b,IF(e25b&gt;value(J7),value(J7)-e15b,e25b-e15b))))*(e25e+ee5e)+IF(e25b=0,0,IF(e25b&gt;value(J7),0,value(J7)-e25b))*(e35e+ee5e))*(IF(e5x,est,0)+1/(1-egt))</v>
      </c>
    </row>
    <row r="56" spans="2:2" x14ac:dyDescent="0.25">
      <c r="B56" s="6" t="str">
        <f t="shared" si="16"/>
        <v>=(ec6f*IF(e1f="month",1,e6d)+IF(e16b=0,value(J8),IF(e16b&gt;value(J8),value(J8),e16b))*(e16e+ee6e)+IF(e16b=0,0,IF(e16b&gt;value(J8),0,IF(e26b=0,value(J8)-e16b,IF(e26b&gt;value(J8),value(J8)-e16b,e26b-e16b))))*(e26e+ee6e)+IF(e26b=0,0,IF(e26b&gt;value(J8),0,value(J8)-e26b))*(e36e+ee6e))*(IF(e5x,est,0)+1/(1-egt))</v>
      </c>
    </row>
    <row r="57" spans="2:2" x14ac:dyDescent="0.25">
      <c r="B57" s="6" t="str">
        <f t="shared" si="16"/>
        <v>=(ec7f*IF(e1f="month",1,e7d)+IF(e17b=0,value(J9),IF(e17b&gt;value(J9),value(J9),e17b))*(e17e+ee7e)+IF(e17b=0,0,IF(e17b&gt;value(J9),0,IF(e27b=0,value(J9)-e17b,IF(e27b&gt;value(J9),value(J9)-e17b,e27b-e17b))))*(e27e+ee7e)+IF(e27b=0,0,IF(e27b&gt;value(J9),0,value(J9)-e27b))*(e37e+ee7e))*(IF(e5x,est,0)+1/(1-egt))</v>
      </c>
    </row>
    <row r="58" spans="2:2" x14ac:dyDescent="0.25">
      <c r="B58" s="6" t="str">
        <f t="shared" si="16"/>
        <v>=(ec8f*IF(e1f="month",1,e8d)+IF(e18b=0,value(J10),IF(e18b&gt;value(J10),value(J10),e18b))*(e18e+ee8e)+IF(e18b=0,0,IF(e18b&gt;value(J10),0,IF(e28b=0,value(J10)-e18b,IF(e28b&gt;value(J10),value(J10)-e18b,e28b-e18b))))*(e28e+ee8e)+IF(e28b=0,0,IF(e28b&gt;value(J10),0,value(J10)-e28b))*(e38e+ee8e))*(IF(e5x,est,0)+1/(1-egt))</v>
      </c>
    </row>
    <row r="59" spans="2:2" x14ac:dyDescent="0.25">
      <c r="B59" s="6" t="str">
        <f t="shared" si="16"/>
        <v>=(ec9f*IF(e1f="month",1,e9d)+IF(e19b=0,value(J11),IF(e19b&gt;value(J11),value(J11),e19b))*(e19e+ee9e)+IF(e19b=0,0,IF(e19b&gt;value(J11),0,IF(e29b=0,value(J11)-e19b,IF(e29b&gt;value(J11),value(J11)-e19b,e29b-e19b))))*(e29e+ee9e)+IF(e29b=0,0,IF(e29b&gt;value(J11),0,value(J11)-e29b))*(e39e+ee9e))*(IF(e5x,est,0)+1/(1-egt))</v>
      </c>
    </row>
    <row r="60" spans="2:2" x14ac:dyDescent="0.25">
      <c r="B60" s="6" t="str">
        <f t="shared" si="16"/>
        <v>=(ecaf*IF(e1f="month",1,ead)+IF(e1ab=0,value(J12),IF(e1ab&gt;value(J12),value(J12),e1ab))*(e1ae+eeae)+IF(e1ab=0,0,IF(e1ab&gt;value(J12),0,IF(e2ab=0,value(J12)-e1ab,IF(e2ab&gt;value(J12),value(J12)-e1ab,e2ab-e1ab))))*(e2ae+eeae)+IF(e2ab=0,0,IF(e2ab&gt;value(J12),0,value(J12)-e2ab))*(e3ae+eeae))*(IF(e5x,est,0)+1/(1-egt))</v>
      </c>
    </row>
    <row r="61" spans="2:2" x14ac:dyDescent="0.25">
      <c r="B61" s="6" t="str">
        <f t="shared" si="16"/>
        <v>=(ecbf*IF(e1f="month",1,ebd)+IF(e1bb=0,value(J13),IF(e1bb&gt;value(J13),value(J13),e1bb))*(e1be+eebe)+IF(e1bb=0,0,IF(e1bb&gt;value(J13),0,IF(e2bb=0,value(J13)-e1bb,IF(e2bb&gt;value(J13),value(J13)-e1bb,e2bb-e1bb))))*(e2be+eebe)+IF(e2bb=0,0,IF(e2bb&gt;value(J13),0,value(J13)-e2bb))*(e3be+eebe))*(IF(e5x,est,0)+1/(1-egt))</v>
      </c>
    </row>
    <row r="62" spans="2:2" x14ac:dyDescent="0.25">
      <c r="B62" s="6" t="str">
        <f t="shared" si="16"/>
        <v>=(eccf*IF(e1f="month",1,ecd)+IF(e1cb=0,value(J14),IF(e1cb&gt;value(J14),value(J14),e1cb))*(e1ce+eece)+IF(e1cb=0,0,IF(e1cb&gt;value(J14),0,IF(e2cb=0,value(J14)-e1cb,IF(e2cb&gt;value(J14),value(J14)-e1cb,e2cb-e1cb))))*(e2ce+eece)+IF(e2cb=0,0,IF(e2cb&gt;value(J14),0,value(J14)-e2cb))*(e3ce+eece))*(IF(e5x,est,0)+1/(1-egt))</v>
      </c>
    </row>
  </sheetData>
  <sheetProtection sheet="1" objects="1" scenarios="1"/>
  <dataValidations count="3">
    <dataValidation type="list" allowBlank="1" showInputMessage="1" showErrorMessage="1" sqref="B3:B14">
      <formula1>"TRUE,FALSE"</formula1>
    </dataValidation>
    <dataValidation type="list" allowBlank="1" showInputMessage="1" showErrorMessage="1" sqref="K24:K48">
      <formula1>$K$18:$K$19</formula1>
    </dataValidation>
    <dataValidation type="list" allowBlank="1" showInputMessage="1" showErrorMessage="1" sqref="L24:L48">
      <formula1>$L$18:$L$19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228</vt:i4>
      </vt:variant>
    </vt:vector>
  </HeadingPairs>
  <TitlesOfParts>
    <vt:vector size="231" baseType="lpstr">
      <vt:lpstr>Sheet1</vt:lpstr>
      <vt:lpstr>Gas_Rates</vt:lpstr>
      <vt:lpstr>Elec_Rates</vt:lpstr>
      <vt:lpstr>e11b</vt:lpstr>
      <vt:lpstr>e11e</vt:lpstr>
      <vt:lpstr>e12b</vt:lpstr>
      <vt:lpstr>e12e</vt:lpstr>
      <vt:lpstr>e13b</vt:lpstr>
      <vt:lpstr>e13e</vt:lpstr>
      <vt:lpstr>e14b</vt:lpstr>
      <vt:lpstr>e14e</vt:lpstr>
      <vt:lpstr>e15b</vt:lpstr>
      <vt:lpstr>e15e</vt:lpstr>
      <vt:lpstr>e16b</vt:lpstr>
      <vt:lpstr>e16e</vt:lpstr>
      <vt:lpstr>e17b</vt:lpstr>
      <vt:lpstr>e17e</vt:lpstr>
      <vt:lpstr>e18b</vt:lpstr>
      <vt:lpstr>e18e</vt:lpstr>
      <vt:lpstr>e19b</vt:lpstr>
      <vt:lpstr>e19e</vt:lpstr>
      <vt:lpstr>e1ab</vt:lpstr>
      <vt:lpstr>e1ae</vt:lpstr>
      <vt:lpstr>e1bb</vt:lpstr>
      <vt:lpstr>e1be</vt:lpstr>
      <vt:lpstr>e1cb</vt:lpstr>
      <vt:lpstr>e1ce</vt:lpstr>
      <vt:lpstr>e1d</vt:lpstr>
      <vt:lpstr>e1f</vt:lpstr>
      <vt:lpstr>e1sb</vt:lpstr>
      <vt:lpstr>e1se</vt:lpstr>
      <vt:lpstr>e1wb</vt:lpstr>
      <vt:lpstr>e1we</vt:lpstr>
      <vt:lpstr>e1x</vt:lpstr>
      <vt:lpstr>e21b</vt:lpstr>
      <vt:lpstr>e21e</vt:lpstr>
      <vt:lpstr>e22b</vt:lpstr>
      <vt:lpstr>e22e</vt:lpstr>
      <vt:lpstr>e23b</vt:lpstr>
      <vt:lpstr>e23e</vt:lpstr>
      <vt:lpstr>e24b</vt:lpstr>
      <vt:lpstr>e24e</vt:lpstr>
      <vt:lpstr>e25b</vt:lpstr>
      <vt:lpstr>e25e</vt:lpstr>
      <vt:lpstr>e26b</vt:lpstr>
      <vt:lpstr>e26e</vt:lpstr>
      <vt:lpstr>e27b</vt:lpstr>
      <vt:lpstr>e27e</vt:lpstr>
      <vt:lpstr>e28b</vt:lpstr>
      <vt:lpstr>e28e</vt:lpstr>
      <vt:lpstr>e29b</vt:lpstr>
      <vt:lpstr>e29e</vt:lpstr>
      <vt:lpstr>e2ab</vt:lpstr>
      <vt:lpstr>e2ae</vt:lpstr>
      <vt:lpstr>e2bb</vt:lpstr>
      <vt:lpstr>e2be</vt:lpstr>
      <vt:lpstr>e2cb</vt:lpstr>
      <vt:lpstr>e2ce</vt:lpstr>
      <vt:lpstr>e2d</vt:lpstr>
      <vt:lpstr>e2sb</vt:lpstr>
      <vt:lpstr>e2se</vt:lpstr>
      <vt:lpstr>e2sf</vt:lpstr>
      <vt:lpstr>e2wb</vt:lpstr>
      <vt:lpstr>e2we</vt:lpstr>
      <vt:lpstr>e2wf</vt:lpstr>
      <vt:lpstr>e2x</vt:lpstr>
      <vt:lpstr>e31e</vt:lpstr>
      <vt:lpstr>e32e</vt:lpstr>
      <vt:lpstr>e33e</vt:lpstr>
      <vt:lpstr>e34e</vt:lpstr>
      <vt:lpstr>e35e</vt:lpstr>
      <vt:lpstr>e36e</vt:lpstr>
      <vt:lpstr>e37e</vt:lpstr>
      <vt:lpstr>e38e</vt:lpstr>
      <vt:lpstr>e39e</vt:lpstr>
      <vt:lpstr>e3ae</vt:lpstr>
      <vt:lpstr>e3be</vt:lpstr>
      <vt:lpstr>e3ce</vt:lpstr>
      <vt:lpstr>e3d</vt:lpstr>
      <vt:lpstr>e3se</vt:lpstr>
      <vt:lpstr>e3sf</vt:lpstr>
      <vt:lpstr>e3we</vt:lpstr>
      <vt:lpstr>e3wf</vt:lpstr>
      <vt:lpstr>e3x</vt:lpstr>
      <vt:lpstr>e4d</vt:lpstr>
      <vt:lpstr>e4x</vt:lpstr>
      <vt:lpstr>e5d</vt:lpstr>
      <vt:lpstr>e5x</vt:lpstr>
      <vt:lpstr>e6d</vt:lpstr>
      <vt:lpstr>e7d</vt:lpstr>
      <vt:lpstr>e8d</vt:lpstr>
      <vt:lpstr>e9d</vt:lpstr>
      <vt:lpstr>ead</vt:lpstr>
      <vt:lpstr>ebd</vt:lpstr>
      <vt:lpstr>ec1f</vt:lpstr>
      <vt:lpstr>ec2f</vt:lpstr>
      <vt:lpstr>ec3f</vt:lpstr>
      <vt:lpstr>ec4f</vt:lpstr>
      <vt:lpstr>ec5f</vt:lpstr>
      <vt:lpstr>ec6f</vt:lpstr>
      <vt:lpstr>ec7f</vt:lpstr>
      <vt:lpstr>ec8f</vt:lpstr>
      <vt:lpstr>ec9f</vt:lpstr>
      <vt:lpstr>ecaf</vt:lpstr>
      <vt:lpstr>ecbf</vt:lpstr>
      <vt:lpstr>eccf</vt:lpstr>
      <vt:lpstr>ecd</vt:lpstr>
      <vt:lpstr>ee1e</vt:lpstr>
      <vt:lpstr>ee2e</vt:lpstr>
      <vt:lpstr>ee3e</vt:lpstr>
      <vt:lpstr>ee4e</vt:lpstr>
      <vt:lpstr>ee5e</vt:lpstr>
      <vt:lpstr>ee6e</vt:lpstr>
      <vt:lpstr>ee7e</vt:lpstr>
      <vt:lpstr>ee8e</vt:lpstr>
      <vt:lpstr>ee9e</vt:lpstr>
      <vt:lpstr>eeae</vt:lpstr>
      <vt:lpstr>eebe</vt:lpstr>
      <vt:lpstr>eece</vt:lpstr>
      <vt:lpstr>eese</vt:lpstr>
      <vt:lpstr>eewe</vt:lpstr>
      <vt:lpstr>egt</vt:lpstr>
      <vt:lpstr>ElecArray</vt:lpstr>
      <vt:lpstr>est</vt:lpstr>
      <vt:lpstr>g11b</vt:lpstr>
      <vt:lpstr>g11e</vt:lpstr>
      <vt:lpstr>g11p</vt:lpstr>
      <vt:lpstr>g12b</vt:lpstr>
      <vt:lpstr>g12e</vt:lpstr>
      <vt:lpstr>g12p</vt:lpstr>
      <vt:lpstr>g13b</vt:lpstr>
      <vt:lpstr>g13e</vt:lpstr>
      <vt:lpstr>g13p</vt:lpstr>
      <vt:lpstr>g14b</vt:lpstr>
      <vt:lpstr>g14e</vt:lpstr>
      <vt:lpstr>g14p</vt:lpstr>
      <vt:lpstr>g15b</vt:lpstr>
      <vt:lpstr>g15e</vt:lpstr>
      <vt:lpstr>g15p</vt:lpstr>
      <vt:lpstr>g16b</vt:lpstr>
      <vt:lpstr>g16e</vt:lpstr>
      <vt:lpstr>g16p</vt:lpstr>
      <vt:lpstr>g17b</vt:lpstr>
      <vt:lpstr>g17e</vt:lpstr>
      <vt:lpstr>g17p</vt:lpstr>
      <vt:lpstr>g18b</vt:lpstr>
      <vt:lpstr>g18e</vt:lpstr>
      <vt:lpstr>g18p</vt:lpstr>
      <vt:lpstr>g19b</vt:lpstr>
      <vt:lpstr>g19e</vt:lpstr>
      <vt:lpstr>g19p</vt:lpstr>
      <vt:lpstr>g1ab</vt:lpstr>
      <vt:lpstr>g1ae</vt:lpstr>
      <vt:lpstr>g1ap</vt:lpstr>
      <vt:lpstr>g1bb</vt:lpstr>
      <vt:lpstr>g1be</vt:lpstr>
      <vt:lpstr>g1bp</vt:lpstr>
      <vt:lpstr>g1cb</vt:lpstr>
      <vt:lpstr>g1ce</vt:lpstr>
      <vt:lpstr>g1cp</vt:lpstr>
      <vt:lpstr>g1d</vt:lpstr>
      <vt:lpstr>g1f</vt:lpstr>
      <vt:lpstr>g1sb</vt:lpstr>
      <vt:lpstr>g1se</vt:lpstr>
      <vt:lpstr>g1sp</vt:lpstr>
      <vt:lpstr>g1wb</vt:lpstr>
      <vt:lpstr>g1we</vt:lpstr>
      <vt:lpstr>g1wp</vt:lpstr>
      <vt:lpstr>g1x</vt:lpstr>
      <vt:lpstr>g21e</vt:lpstr>
      <vt:lpstr>g21p</vt:lpstr>
      <vt:lpstr>g22e</vt:lpstr>
      <vt:lpstr>g22p</vt:lpstr>
      <vt:lpstr>g23e</vt:lpstr>
      <vt:lpstr>g23p</vt:lpstr>
      <vt:lpstr>g24e</vt:lpstr>
      <vt:lpstr>g24p</vt:lpstr>
      <vt:lpstr>g25e</vt:lpstr>
      <vt:lpstr>g25p</vt:lpstr>
      <vt:lpstr>g26e</vt:lpstr>
      <vt:lpstr>g26p</vt:lpstr>
      <vt:lpstr>g27e</vt:lpstr>
      <vt:lpstr>g27p</vt:lpstr>
      <vt:lpstr>g28e</vt:lpstr>
      <vt:lpstr>g28p</vt:lpstr>
      <vt:lpstr>g29e</vt:lpstr>
      <vt:lpstr>g29p</vt:lpstr>
      <vt:lpstr>g2ae</vt:lpstr>
      <vt:lpstr>g2ap</vt:lpstr>
      <vt:lpstr>g2be</vt:lpstr>
      <vt:lpstr>g2bp</vt:lpstr>
      <vt:lpstr>g2ce</vt:lpstr>
      <vt:lpstr>g2cp</vt:lpstr>
      <vt:lpstr>g2d</vt:lpstr>
      <vt:lpstr>g2se</vt:lpstr>
      <vt:lpstr>g2sf</vt:lpstr>
      <vt:lpstr>g2sp</vt:lpstr>
      <vt:lpstr>g2we</vt:lpstr>
      <vt:lpstr>g2wf</vt:lpstr>
      <vt:lpstr>g2wp</vt:lpstr>
      <vt:lpstr>g2x</vt:lpstr>
      <vt:lpstr>g3d</vt:lpstr>
      <vt:lpstr>g3sf</vt:lpstr>
      <vt:lpstr>g3wf</vt:lpstr>
      <vt:lpstr>g3x</vt:lpstr>
      <vt:lpstr>g4d</vt:lpstr>
      <vt:lpstr>g4x</vt:lpstr>
      <vt:lpstr>g5d</vt:lpstr>
      <vt:lpstr>g5x</vt:lpstr>
      <vt:lpstr>g6d</vt:lpstr>
      <vt:lpstr>g7d</vt:lpstr>
      <vt:lpstr>g8d</vt:lpstr>
      <vt:lpstr>g9d</vt:lpstr>
      <vt:lpstr>gad</vt:lpstr>
      <vt:lpstr>GasArray</vt:lpstr>
      <vt:lpstr>gbd</vt:lpstr>
      <vt:lpstr>gc1f</vt:lpstr>
      <vt:lpstr>gc2f</vt:lpstr>
      <vt:lpstr>gc3f</vt:lpstr>
      <vt:lpstr>gc4f</vt:lpstr>
      <vt:lpstr>gc5f</vt:lpstr>
      <vt:lpstr>gc6f</vt:lpstr>
      <vt:lpstr>gc7f</vt:lpstr>
      <vt:lpstr>gc8f</vt:lpstr>
      <vt:lpstr>gc9f</vt:lpstr>
      <vt:lpstr>gcaf</vt:lpstr>
      <vt:lpstr>gcbf</vt:lpstr>
      <vt:lpstr>gccf</vt:lpstr>
      <vt:lpstr>gcd</vt:lpstr>
      <vt:lpstr>ggt</vt:lpstr>
      <vt:lpstr>gst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2014-02-13T21:53:22Z</dcterms:created>
  <dcterms:modified xsi:type="dcterms:W3CDTF">2014-10-18T19:59:31Z</dcterms:modified>
</cp:coreProperties>
</file>